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2" activeTab="6"/>
  </bookViews>
  <sheets>
    <sheet name="Top Sheet" sheetId="9" r:id="rId1"/>
    <sheet name="Summary New Year" sheetId="20" r:id="rId2"/>
    <sheet name="Chart1" sheetId="26" r:id="rId3"/>
    <sheet name="New Year-Full Year" sheetId="1" r:id="rId4"/>
    <sheet name="Pastor Detail" sheetId="21" r:id="rId5"/>
    <sheet name="Band Estimate" sheetId="22" r:id="rId6"/>
    <sheet name="Rates" sheetId="24" r:id="rId7"/>
  </sheets>
  <definedNames>
    <definedName name="Bud_Yr">'Top Sheet'!$C$2</definedName>
    <definedName name="_xlnm.Print_Titles" localSheetId="3">'New Year-Full Year'!$2:$4</definedName>
    <definedName name="_xlnm.Print_Titles" localSheetId="1">'Summary New Year'!$1:$4</definedName>
  </definedNames>
  <calcPr calcId="124519"/>
</workbook>
</file>

<file path=xl/calcChain.xml><?xml version="1.0" encoding="utf-8"?>
<calcChain xmlns="http://schemas.openxmlformats.org/spreadsheetml/2006/main">
  <c r="AG180" i="1"/>
  <c r="AH180"/>
  <c r="AI180"/>
  <c r="AJ180"/>
  <c r="AF180"/>
  <c r="AJ165"/>
  <c r="AF165"/>
  <c r="AJ164"/>
  <c r="AF164"/>
  <c r="AJ163"/>
  <c r="AF163"/>
  <c r="AJ162"/>
  <c r="AF162"/>
  <c r="AJ161"/>
  <c r="AF161"/>
  <c r="AJ152"/>
  <c r="AJ153"/>
  <c r="AJ154"/>
  <c r="AJ155"/>
  <c r="AJ156"/>
  <c r="AJ157"/>
  <c r="AF152"/>
  <c r="AF153"/>
  <c r="AF154"/>
  <c r="AF155"/>
  <c r="AF156"/>
  <c r="AF157"/>
  <c r="AJ151"/>
  <c r="AF151"/>
  <c r="AG145"/>
  <c r="AC145"/>
  <c r="AG140"/>
  <c r="AC140"/>
  <c r="AJ135"/>
  <c r="AF135"/>
  <c r="AI144"/>
  <c r="AH144"/>
  <c r="AG144"/>
  <c r="AE144"/>
  <c r="AD144"/>
  <c r="AC144"/>
  <c r="AI143"/>
  <c r="AH143"/>
  <c r="AG143"/>
  <c r="AI142"/>
  <c r="AH142"/>
  <c r="AG142"/>
  <c r="AE142"/>
  <c r="AD142"/>
  <c r="AC142"/>
  <c r="AI141"/>
  <c r="AH141"/>
  <c r="AG141"/>
  <c r="AE141"/>
  <c r="AD141"/>
  <c r="AC141"/>
  <c r="AI139"/>
  <c r="AH139"/>
  <c r="AG139"/>
  <c r="AE139"/>
  <c r="AD139"/>
  <c r="AC139"/>
  <c r="AI138"/>
  <c r="AH138"/>
  <c r="AG138"/>
  <c r="AE138"/>
  <c r="AD138"/>
  <c r="AC138"/>
  <c r="AI134"/>
  <c r="AH134"/>
  <c r="AG134"/>
  <c r="AE134"/>
  <c r="AD134"/>
  <c r="AC134"/>
  <c r="AI133"/>
  <c r="AH133"/>
  <c r="AG133"/>
  <c r="AE133"/>
  <c r="AD133"/>
  <c r="AC133"/>
  <c r="AH132"/>
  <c r="AI132"/>
  <c r="AG132"/>
  <c r="AD132"/>
  <c r="AE132"/>
  <c r="AC132"/>
  <c r="AI131"/>
  <c r="AH131"/>
  <c r="AG131"/>
  <c r="AG99"/>
  <c r="AH99"/>
  <c r="AI99"/>
  <c r="AI100" s="1"/>
  <c r="AE100"/>
  <c r="AC100"/>
  <c r="AG128"/>
  <c r="AH127"/>
  <c r="AH126"/>
  <c r="AC128"/>
  <c r="AD127"/>
  <c r="AD126"/>
  <c r="AG125"/>
  <c r="AG124"/>
  <c r="AG123"/>
  <c r="AG122"/>
  <c r="AG121"/>
  <c r="AG120"/>
  <c r="AG119"/>
  <c r="AC125"/>
  <c r="AC121"/>
  <c r="AC119"/>
  <c r="AH105"/>
  <c r="AD105"/>
  <c r="AH104"/>
  <c r="AD104"/>
  <c r="AG100"/>
  <c r="AD100"/>
  <c r="AH100"/>
  <c r="AI91"/>
  <c r="AH91"/>
  <c r="AG91"/>
  <c r="AH90"/>
  <c r="AI90"/>
  <c r="AG90"/>
  <c r="AG75"/>
  <c r="AC75"/>
  <c r="AG74"/>
  <c r="AC74"/>
  <c r="AG73"/>
  <c r="AC73"/>
  <c r="AG72"/>
  <c r="AC72"/>
  <c r="AG71"/>
  <c r="AC71"/>
  <c r="AG70"/>
  <c r="AC70"/>
  <c r="AG66"/>
  <c r="AG65"/>
  <c r="AG64"/>
  <c r="AH63"/>
  <c r="AH62"/>
  <c r="AG61"/>
  <c r="AG60"/>
  <c r="AC66"/>
  <c r="AC65"/>
  <c r="AC64"/>
  <c r="AE63"/>
  <c r="AE62"/>
  <c r="AC61"/>
  <c r="AC60"/>
  <c r="AI30"/>
  <c r="AE30"/>
  <c r="AG54"/>
  <c r="AG53"/>
  <c r="AC54"/>
  <c r="AC53"/>
  <c r="AI57"/>
  <c r="AE57"/>
  <c r="AH50"/>
  <c r="AD50"/>
  <c r="AD40"/>
  <c r="AG47"/>
  <c r="AG46"/>
  <c r="AG45"/>
  <c r="AG44"/>
  <c r="AC45"/>
  <c r="AC46"/>
  <c r="AC47"/>
  <c r="AC44"/>
  <c r="AH35"/>
  <c r="AH36"/>
  <c r="AH37"/>
  <c r="AH38"/>
  <c r="AH39"/>
  <c r="AH40"/>
  <c r="AD35"/>
  <c r="AD36"/>
  <c r="AD37"/>
  <c r="AD38"/>
  <c r="AD39"/>
  <c r="AD34"/>
  <c r="AH34"/>
  <c r="AG3"/>
  <c r="AC3"/>
  <c r="J76" i="20"/>
  <c r="I76"/>
  <c r="U81" i="1"/>
  <c r="T81"/>
  <c r="C69" i="20"/>
  <c r="E69"/>
  <c r="F69"/>
  <c r="G69" s="1"/>
  <c r="I69"/>
  <c r="J69"/>
  <c r="K69" s="1"/>
  <c r="U76" i="1"/>
  <c r="T76"/>
  <c r="P76"/>
  <c r="O76"/>
  <c r="V75"/>
  <c r="R75"/>
  <c r="Q75"/>
  <c r="C8" i="20"/>
  <c r="E8"/>
  <c r="F8"/>
  <c r="G8" s="1"/>
  <c r="I8"/>
  <c r="J8"/>
  <c r="K8" s="1"/>
  <c r="V8" i="1"/>
  <c r="R8"/>
  <c r="Q8"/>
  <c r="C9" i="24"/>
  <c r="C6"/>
  <c r="O175" i="1"/>
  <c r="O140"/>
  <c r="O124"/>
  <c r="Q124" s="1"/>
  <c r="O123"/>
  <c r="AC123" s="1"/>
  <c r="O122"/>
  <c r="AC122" s="1"/>
  <c r="O120"/>
  <c r="Q120" s="1"/>
  <c r="O44"/>
  <c r="W122"/>
  <c r="V124"/>
  <c r="V120"/>
  <c r="C74" i="22"/>
  <c r="C10"/>
  <c r="C64"/>
  <c r="C63"/>
  <c r="E55"/>
  <c r="C55"/>
  <c r="C57" s="1"/>
  <c r="C60" s="1"/>
  <c r="C46"/>
  <c r="C47"/>
  <c r="C30"/>
  <c r="C15"/>
  <c r="C25" s="1"/>
  <c r="C27" s="1"/>
  <c r="C103" i="20"/>
  <c r="E103"/>
  <c r="F103"/>
  <c r="G103" s="1"/>
  <c r="I103"/>
  <c r="J103"/>
  <c r="K103" s="1"/>
  <c r="E59"/>
  <c r="F59"/>
  <c r="G59" s="1"/>
  <c r="I59"/>
  <c r="J59"/>
  <c r="K59" s="1"/>
  <c r="C59"/>
  <c r="J75"/>
  <c r="I75"/>
  <c r="T116" i="1"/>
  <c r="O133"/>
  <c r="O156"/>
  <c r="O97"/>
  <c r="Q97" s="1"/>
  <c r="V97"/>
  <c r="R97"/>
  <c r="G53" i="21"/>
  <c r="O99" i="1"/>
  <c r="V98"/>
  <c r="R98"/>
  <c r="Q98"/>
  <c r="V96"/>
  <c r="R96"/>
  <c r="Q96"/>
  <c r="V95"/>
  <c r="R95"/>
  <c r="Q95"/>
  <c r="AC120" l="1"/>
  <c r="AC124"/>
  <c r="R124"/>
  <c r="R120"/>
  <c r="C32" i="22"/>
  <c r="C37" s="1"/>
  <c r="C31"/>
  <c r="C67"/>
  <c r="C69" s="1"/>
  <c r="C72" s="1"/>
  <c r="C42"/>
  <c r="C44" s="1"/>
  <c r="C49" s="1"/>
  <c r="C52" s="1"/>
  <c r="G24" i="21"/>
  <c r="G26" s="1"/>
  <c r="D24"/>
  <c r="O82" i="1"/>
  <c r="O90"/>
  <c r="O89"/>
  <c r="O88"/>
  <c r="V89"/>
  <c r="D54" i="21"/>
  <c r="E54"/>
  <c r="F54"/>
  <c r="G54"/>
  <c r="C54"/>
  <c r="H53"/>
  <c r="H54" s="1"/>
  <c r="H35"/>
  <c r="H14"/>
  <c r="H42"/>
  <c r="E3"/>
  <c r="E42"/>
  <c r="E22"/>
  <c r="E24" s="1"/>
  <c r="E26" s="1"/>
  <c r="E12"/>
  <c r="D44"/>
  <c r="D42"/>
  <c r="F42"/>
  <c r="G42"/>
  <c r="C42"/>
  <c r="P141" i="1"/>
  <c r="E76" i="20" l="1"/>
  <c r="C33" i="22"/>
  <c r="C38"/>
  <c r="C39" s="1"/>
  <c r="Q89" i="1"/>
  <c r="R89"/>
  <c r="E29" i="21"/>
  <c r="D29"/>
  <c r="D45" s="1"/>
  <c r="D5"/>
  <c r="D8"/>
  <c r="D12"/>
  <c r="C12"/>
  <c r="F12"/>
  <c r="G12"/>
  <c r="F22"/>
  <c r="F24" s="1"/>
  <c r="F26" s="1"/>
  <c r="G29"/>
  <c r="G34" s="1"/>
  <c r="C8"/>
  <c r="C22" s="1"/>
  <c r="C24" s="1"/>
  <c r="C26" s="1"/>
  <c r="B5"/>
  <c r="O126" i="1"/>
  <c r="O161"/>
  <c r="O154"/>
  <c r="O152"/>
  <c r="O151"/>
  <c r="P142"/>
  <c r="H142"/>
  <c r="H141"/>
  <c r="F141" s="1"/>
  <c r="P135"/>
  <c r="H132"/>
  <c r="P132"/>
  <c r="M128"/>
  <c r="I128"/>
  <c r="E128"/>
  <c r="O7"/>
  <c r="V173"/>
  <c r="R173"/>
  <c r="Q173"/>
  <c r="L133"/>
  <c r="V134"/>
  <c r="R134"/>
  <c r="Q134"/>
  <c r="V141"/>
  <c r="L141"/>
  <c r="V65"/>
  <c r="R65"/>
  <c r="Q65"/>
  <c r="C75" i="22" l="1"/>
  <c r="D34" i="21"/>
  <c r="P84" i="1" s="1"/>
  <c r="H17" i="21"/>
  <c r="H19" s="1"/>
  <c r="F29"/>
  <c r="F44"/>
  <c r="E34"/>
  <c r="E45"/>
  <c r="C29"/>
  <c r="C44"/>
  <c r="B6"/>
  <c r="O141" i="1"/>
  <c r="W141"/>
  <c r="R133"/>
  <c r="J106" i="20"/>
  <c r="I106"/>
  <c r="F106"/>
  <c r="E106"/>
  <c r="K106" l="1"/>
  <c r="H43" i="21"/>
  <c r="H46" s="1"/>
  <c r="H47" s="1"/>
  <c r="H56" s="1"/>
  <c r="H59" s="1"/>
  <c r="G3"/>
  <c r="G6" s="1"/>
  <c r="G10" s="1"/>
  <c r="C3"/>
  <c r="C6" s="1"/>
  <c r="D3"/>
  <c r="D6" s="1"/>
  <c r="D10" s="1"/>
  <c r="C34"/>
  <c r="C45"/>
  <c r="F34"/>
  <c r="F45"/>
  <c r="R141" i="1"/>
  <c r="G106" i="20"/>
  <c r="Q141" i="1"/>
  <c r="Q133"/>
  <c r="D14" i="21" l="1"/>
  <c r="D17" s="1"/>
  <c r="D19" s="1"/>
  <c r="P81" i="1"/>
  <c r="F74" i="20" s="1"/>
  <c r="G14" i="21"/>
  <c r="O81" i="1" s="1"/>
  <c r="C10" i="21"/>
  <c r="C14" s="1"/>
  <c r="F10"/>
  <c r="F14" s="1"/>
  <c r="D32" l="1"/>
  <c r="D33" s="1"/>
  <c r="D43"/>
  <c r="D46" s="1"/>
  <c r="D47" s="1"/>
  <c r="P87" i="1" s="1"/>
  <c r="G17" i="21"/>
  <c r="O83" i="1" s="1"/>
  <c r="C17" i="21"/>
  <c r="C19" s="1"/>
  <c r="F17"/>
  <c r="F19" s="1"/>
  <c r="V142" i="1"/>
  <c r="G19" i="21" l="1"/>
  <c r="G43" s="1"/>
  <c r="G46" s="1"/>
  <c r="D35"/>
  <c r="P85" i="1"/>
  <c r="F32" i="21"/>
  <c r="F43"/>
  <c r="F46" s="1"/>
  <c r="F47" s="1"/>
  <c r="C32"/>
  <c r="C33" s="1"/>
  <c r="C35" s="1"/>
  <c r="C43"/>
  <c r="C46" s="1"/>
  <c r="C47" s="1"/>
  <c r="F33"/>
  <c r="F35" s="1"/>
  <c r="U100" i="1"/>
  <c r="T100"/>
  <c r="P100"/>
  <c r="O100"/>
  <c r="G47" i="21" l="1"/>
  <c r="O87" i="1" s="1"/>
  <c r="D36" i="21"/>
  <c r="D56"/>
  <c r="D59" s="1"/>
  <c r="C56"/>
  <c r="C59" s="1"/>
  <c r="F56"/>
  <c r="F59" s="1"/>
  <c r="G32"/>
  <c r="C36"/>
  <c r="F36"/>
  <c r="V176" i="1"/>
  <c r="R176"/>
  <c r="V85"/>
  <c r="R86"/>
  <c r="V84"/>
  <c r="R84"/>
  <c r="Q84"/>
  <c r="G33" i="21" l="1"/>
  <c r="G35" s="1"/>
  <c r="V86" i="1"/>
  <c r="Q176"/>
  <c r="Q86"/>
  <c r="G56" i="21" l="1"/>
  <c r="G59" s="1"/>
  <c r="O85" i="1"/>
  <c r="O91" s="1"/>
  <c r="G36" i="21"/>
  <c r="I108" i="1"/>
  <c r="E109"/>
  <c r="O104"/>
  <c r="L137"/>
  <c r="W137" s="1"/>
  <c r="L136"/>
  <c r="L135"/>
  <c r="L132"/>
  <c r="W132" s="1"/>
  <c r="L142"/>
  <c r="H136"/>
  <c r="F136" s="1"/>
  <c r="H135"/>
  <c r="F135" s="1"/>
  <c r="L105"/>
  <c r="F105"/>
  <c r="C5" i="24" s="1"/>
  <c r="AD91" i="1" l="1"/>
  <c r="AD180" s="1"/>
  <c r="AE91"/>
  <c r="AE180" s="1"/>
  <c r="AC91"/>
  <c r="AC180" s="1"/>
  <c r="W136"/>
  <c r="C8" i="24"/>
  <c r="W135" i="1"/>
  <c r="C7" i="24"/>
  <c r="O105" i="1"/>
  <c r="W105"/>
  <c r="O135"/>
  <c r="F142"/>
  <c r="C10" i="24" s="1"/>
  <c r="M76" i="1"/>
  <c r="I76"/>
  <c r="E76"/>
  <c r="W4"/>
  <c r="T2"/>
  <c r="Q3"/>
  <c r="P3"/>
  <c r="O3"/>
  <c r="Q85" l="1"/>
  <c r="R85"/>
  <c r="P143"/>
  <c r="F75" i="20" s="1"/>
  <c r="O142" i="1"/>
  <c r="G82" s="1"/>
  <c r="W142"/>
  <c r="O132"/>
  <c r="V123"/>
  <c r="R123"/>
  <c r="Q123" l="1"/>
  <c r="V45" l="1"/>
  <c r="R45"/>
  <c r="Q45"/>
  <c r="R142"/>
  <c r="Q142"/>
  <c r="C9" i="20"/>
  <c r="C10"/>
  <c r="C11"/>
  <c r="C12"/>
  <c r="C7"/>
  <c r="C17"/>
  <c r="C18"/>
  <c r="C19"/>
  <c r="C20"/>
  <c r="C16"/>
  <c r="C30"/>
  <c r="C31"/>
  <c r="C32"/>
  <c r="C33"/>
  <c r="C34"/>
  <c r="C35"/>
  <c r="C29"/>
  <c r="C40"/>
  <c r="C41"/>
  <c r="C39"/>
  <c r="C48"/>
  <c r="C47"/>
  <c r="C55"/>
  <c r="C56"/>
  <c r="C57"/>
  <c r="C58"/>
  <c r="C60"/>
  <c r="C54"/>
  <c r="C65"/>
  <c r="C66"/>
  <c r="C67"/>
  <c r="C68"/>
  <c r="C64"/>
  <c r="C82"/>
  <c r="C83"/>
  <c r="C84"/>
  <c r="C85"/>
  <c r="C86"/>
  <c r="C87"/>
  <c r="C81"/>
  <c r="C92"/>
  <c r="C93"/>
  <c r="C94"/>
  <c r="C95"/>
  <c r="C96"/>
  <c r="C91"/>
  <c r="C104"/>
  <c r="C105"/>
  <c r="C107"/>
  <c r="C102"/>
  <c r="O128" i="1"/>
  <c r="O125"/>
  <c r="O119"/>
  <c r="P88"/>
  <c r="F76" i="20" s="1"/>
  <c r="G83" i="1" l="1"/>
  <c r="G84" s="1"/>
  <c r="V172"/>
  <c r="P178" l="1"/>
  <c r="J102" i="20" l="1"/>
  <c r="I102"/>
  <c r="F102"/>
  <c r="R172" i="1"/>
  <c r="E102" i="20" l="1"/>
  <c r="Q172" i="1"/>
  <c r="P27" l="1"/>
  <c r="P28"/>
  <c r="P146"/>
  <c r="P158"/>
  <c r="P167"/>
  <c r="P129"/>
  <c r="P91"/>
  <c r="P147" s="1"/>
  <c r="P106"/>
  <c r="P116"/>
  <c r="P67"/>
  <c r="P55"/>
  <c r="P21"/>
  <c r="P48"/>
  <c r="F77" i="20" l="1"/>
  <c r="I143" i="1"/>
  <c r="P168"/>
  <c r="I3" i="20"/>
  <c r="J10" l="1"/>
  <c r="J11"/>
  <c r="I10"/>
  <c r="I11"/>
  <c r="E58"/>
  <c r="F58"/>
  <c r="I58"/>
  <c r="J58"/>
  <c r="G58" l="1"/>
  <c r="K58"/>
  <c r="V64" i="1"/>
  <c r="R64"/>
  <c r="Q64" l="1"/>
  <c r="E34" i="20" l="1"/>
  <c r="F34"/>
  <c r="I34"/>
  <c r="J34"/>
  <c r="V114" i="1"/>
  <c r="R114"/>
  <c r="Q114"/>
  <c r="K34" i="20" l="1"/>
  <c r="G34"/>
  <c r="Q177" i="1"/>
  <c r="Q175"/>
  <c r="Q174"/>
  <c r="Q166"/>
  <c r="Q165"/>
  <c r="Q164"/>
  <c r="Q163"/>
  <c r="Q162"/>
  <c r="Q161"/>
  <c r="Q157"/>
  <c r="Q156"/>
  <c r="Q155"/>
  <c r="Q154"/>
  <c r="Q153"/>
  <c r="Q152"/>
  <c r="Q151"/>
  <c r="Q145"/>
  <c r="Q140"/>
  <c r="Q138"/>
  <c r="Q128"/>
  <c r="Q127"/>
  <c r="Q126"/>
  <c r="Q121"/>
  <c r="Q119"/>
  <c r="Q115"/>
  <c r="Q113"/>
  <c r="Q112"/>
  <c r="Q111"/>
  <c r="Q110"/>
  <c r="Q105"/>
  <c r="Q99"/>
  <c r="Q94"/>
  <c r="Q90"/>
  <c r="Q88"/>
  <c r="Q87"/>
  <c r="Q83"/>
  <c r="Q82"/>
  <c r="Q81"/>
  <c r="Q72"/>
  <c r="Q71"/>
  <c r="Q70"/>
  <c r="Q63"/>
  <c r="Q62"/>
  <c r="Q57"/>
  <c r="Q54"/>
  <c r="Q53"/>
  <c r="Q50"/>
  <c r="Q46"/>
  <c r="Q44"/>
  <c r="Q39"/>
  <c r="Q38"/>
  <c r="Q37"/>
  <c r="Q36"/>
  <c r="Q35"/>
  <c r="Q100" l="1"/>
  <c r="Q158"/>
  <c r="Q167"/>
  <c r="Q55"/>
  <c r="Q178"/>
  <c r="Q91"/>
  <c r="Q168" l="1"/>
  <c r="Q132" l="1"/>
  <c r="R39"/>
  <c r="V39"/>
  <c r="G4" i="20" l="1"/>
  <c r="F4"/>
  <c r="E4"/>
  <c r="J4"/>
  <c r="I4"/>
  <c r="V50" i="1"/>
  <c r="R50"/>
  <c r="J44" i="20"/>
  <c r="I44"/>
  <c r="F44"/>
  <c r="E44"/>
  <c r="G44" l="1"/>
  <c r="K44"/>
  <c r="J107" l="1"/>
  <c r="J104"/>
  <c r="J96"/>
  <c r="J95"/>
  <c r="J94"/>
  <c r="J93"/>
  <c r="J92"/>
  <c r="J91"/>
  <c r="J87"/>
  <c r="J86"/>
  <c r="J85"/>
  <c r="J84"/>
  <c r="J83"/>
  <c r="J82"/>
  <c r="J81"/>
  <c r="J68"/>
  <c r="J67"/>
  <c r="J66"/>
  <c r="J65"/>
  <c r="J64"/>
  <c r="J60"/>
  <c r="J57"/>
  <c r="J56"/>
  <c r="J51"/>
  <c r="J48"/>
  <c r="J47"/>
  <c r="J41"/>
  <c r="J40"/>
  <c r="J39"/>
  <c r="J35"/>
  <c r="J33"/>
  <c r="J31"/>
  <c r="J30"/>
  <c r="J29"/>
  <c r="J25"/>
  <c r="J16"/>
  <c r="J12"/>
  <c r="J9"/>
  <c r="J7"/>
  <c r="I105"/>
  <c r="I104"/>
  <c r="I96"/>
  <c r="I95"/>
  <c r="I94"/>
  <c r="I93"/>
  <c r="I92"/>
  <c r="I91"/>
  <c r="I87"/>
  <c r="I86"/>
  <c r="I85"/>
  <c r="I84"/>
  <c r="I83"/>
  <c r="I82"/>
  <c r="I81"/>
  <c r="I68"/>
  <c r="I67"/>
  <c r="I66"/>
  <c r="I65"/>
  <c r="I64"/>
  <c r="I60"/>
  <c r="I57"/>
  <c r="I56"/>
  <c r="I51"/>
  <c r="I48"/>
  <c r="I47"/>
  <c r="I41"/>
  <c r="I40"/>
  <c r="I39"/>
  <c r="I35"/>
  <c r="I33"/>
  <c r="I32"/>
  <c r="I31"/>
  <c r="I30"/>
  <c r="I29"/>
  <c r="I25"/>
  <c r="I20"/>
  <c r="I19"/>
  <c r="I17"/>
  <c r="I16"/>
  <c r="I12"/>
  <c r="I9"/>
  <c r="I7"/>
  <c r="V88" i="1"/>
  <c r="R88"/>
  <c r="I70" i="20" l="1"/>
  <c r="J70"/>
  <c r="J49"/>
  <c r="I88"/>
  <c r="I36"/>
  <c r="I13"/>
  <c r="I42"/>
  <c r="J88"/>
  <c r="J97"/>
  <c r="I49"/>
  <c r="I97"/>
  <c r="J13"/>
  <c r="J42"/>
  <c r="I98" l="1"/>
  <c r="J98"/>
  <c r="V127" i="1"/>
  <c r="R127"/>
  <c r="Q7"/>
  <c r="Q73"/>
  <c r="Q76" s="1"/>
  <c r="Q74"/>
  <c r="Q61"/>
  <c r="Q66"/>
  <c r="Q60"/>
  <c r="Q47"/>
  <c r="Q40"/>
  <c r="V83"/>
  <c r="R83"/>
  <c r="Q48" l="1"/>
  <c r="Q67"/>
  <c r="F30" i="20"/>
  <c r="F31"/>
  <c r="F32"/>
  <c r="F33"/>
  <c r="F35"/>
  <c r="F39"/>
  <c r="F40"/>
  <c r="F41"/>
  <c r="F47"/>
  <c r="F48"/>
  <c r="F51"/>
  <c r="F54"/>
  <c r="F55"/>
  <c r="F56"/>
  <c r="F57"/>
  <c r="F60"/>
  <c r="F64"/>
  <c r="F65"/>
  <c r="F66"/>
  <c r="F67"/>
  <c r="F68"/>
  <c r="F81"/>
  <c r="F82"/>
  <c r="F83"/>
  <c r="F84"/>
  <c r="F85"/>
  <c r="F86"/>
  <c r="F87"/>
  <c r="F91"/>
  <c r="F92"/>
  <c r="F93"/>
  <c r="F94"/>
  <c r="F95"/>
  <c r="F96"/>
  <c r="F104"/>
  <c r="F105"/>
  <c r="F107"/>
  <c r="F16"/>
  <c r="F17"/>
  <c r="F18"/>
  <c r="F19"/>
  <c r="F20"/>
  <c r="F7"/>
  <c r="O139" i="1"/>
  <c r="F70" i="20" l="1"/>
  <c r="Q139" i="1"/>
  <c r="F42" i="20"/>
  <c r="F108"/>
  <c r="F61"/>
  <c r="F49"/>
  <c r="F88"/>
  <c r="F97"/>
  <c r="F98" l="1"/>
  <c r="E107" l="1"/>
  <c r="G107" s="1"/>
  <c r="E105"/>
  <c r="G105" s="1"/>
  <c r="E104"/>
  <c r="E95"/>
  <c r="E94"/>
  <c r="E93"/>
  <c r="E92"/>
  <c r="E91"/>
  <c r="E82"/>
  <c r="E83"/>
  <c r="E84"/>
  <c r="G84" s="1"/>
  <c r="E85"/>
  <c r="E86"/>
  <c r="E87"/>
  <c r="E81"/>
  <c r="E68"/>
  <c r="E67"/>
  <c r="E66"/>
  <c r="E65"/>
  <c r="E64"/>
  <c r="E60"/>
  <c r="E57"/>
  <c r="E55"/>
  <c r="E54"/>
  <c r="E51"/>
  <c r="E48"/>
  <c r="E47"/>
  <c r="E41"/>
  <c r="E40"/>
  <c r="E39"/>
  <c r="E30"/>
  <c r="E31"/>
  <c r="E32"/>
  <c r="E33"/>
  <c r="E35"/>
  <c r="K96"/>
  <c r="G20"/>
  <c r="G19"/>
  <c r="G17"/>
  <c r="K11"/>
  <c r="E70" l="1"/>
  <c r="E49"/>
  <c r="G41"/>
  <c r="G55"/>
  <c r="K12"/>
  <c r="G94"/>
  <c r="G82"/>
  <c r="G86"/>
  <c r="G39"/>
  <c r="G40"/>
  <c r="G60"/>
  <c r="G104"/>
  <c r="E88"/>
  <c r="E108"/>
  <c r="G92"/>
  <c r="G83"/>
  <c r="G87"/>
  <c r="G93"/>
  <c r="G91"/>
  <c r="G95"/>
  <c r="G85"/>
  <c r="G30"/>
  <c r="G35"/>
  <c r="G67"/>
  <c r="G51"/>
  <c r="G31"/>
  <c r="G57"/>
  <c r="G68"/>
  <c r="K31"/>
  <c r="G48"/>
  <c r="G65"/>
  <c r="E42"/>
  <c r="G66"/>
  <c r="G33"/>
  <c r="G32"/>
  <c r="K9"/>
  <c r="G102"/>
  <c r="G47"/>
  <c r="K87"/>
  <c r="K33"/>
  <c r="F21"/>
  <c r="G54"/>
  <c r="G18"/>
  <c r="G81"/>
  <c r="G64"/>
  <c r="E56"/>
  <c r="G56" s="1"/>
  <c r="G49" l="1"/>
  <c r="G108"/>
  <c r="E61"/>
  <c r="G70"/>
  <c r="G42"/>
  <c r="G88"/>
  <c r="G61" l="1"/>
  <c r="E96" l="1"/>
  <c r="E97" l="1"/>
  <c r="E98" s="1"/>
  <c r="G98" s="1"/>
  <c r="G96"/>
  <c r="V140" i="1"/>
  <c r="R140"/>
  <c r="G97" i="20" l="1"/>
  <c r="G76"/>
  <c r="H126" i="1"/>
  <c r="H104"/>
  <c r="O20"/>
  <c r="O19"/>
  <c r="O18"/>
  <c r="O17"/>
  <c r="E16" i="20" l="1"/>
  <c r="G16" s="1"/>
  <c r="Q16" i="1"/>
  <c r="E17" i="20"/>
  <c r="Q17" i="1"/>
  <c r="E18" i="20"/>
  <c r="Q18" i="1"/>
  <c r="E19" i="20"/>
  <c r="Q19" i="1"/>
  <c r="E20" i="20"/>
  <c r="Q20" i="1"/>
  <c r="Q135" l="1"/>
  <c r="E21" i="20"/>
  <c r="G21" s="1"/>
  <c r="Q21" i="1"/>
  <c r="E7" i="20"/>
  <c r="G7" l="1"/>
  <c r="Q125" i="1" l="1"/>
  <c r="Q122"/>
  <c r="Q129" l="1"/>
  <c r="Q109"/>
  <c r="Q116" s="1"/>
  <c r="Q104"/>
  <c r="Q106" s="1"/>
  <c r="O28" l="1"/>
  <c r="Q28" s="1"/>
  <c r="O27"/>
  <c r="Q27" s="1"/>
  <c r="K10" i="20" l="1"/>
  <c r="K56"/>
  <c r="K25"/>
  <c r="J54"/>
  <c r="J55"/>
  <c r="J105"/>
  <c r="K105" s="1"/>
  <c r="I54"/>
  <c r="I55"/>
  <c r="I18"/>
  <c r="I21" s="1"/>
  <c r="I22" s="1"/>
  <c r="I113" s="1"/>
  <c r="I107"/>
  <c r="K107" s="1"/>
  <c r="K55" l="1"/>
  <c r="I108"/>
  <c r="I61"/>
  <c r="I71" s="1"/>
  <c r="J61"/>
  <c r="K54"/>
  <c r="J108"/>
  <c r="K102"/>
  <c r="K7"/>
  <c r="K13"/>
  <c r="K104" l="1"/>
  <c r="K108"/>
  <c r="K92"/>
  <c r="K84"/>
  <c r="K91" l="1"/>
  <c r="K16"/>
  <c r="K60"/>
  <c r="K85"/>
  <c r="K93"/>
  <c r="K41"/>
  <c r="K51"/>
  <c r="K30"/>
  <c r="K95"/>
  <c r="K94"/>
  <c r="K86"/>
  <c r="K83"/>
  <c r="K82"/>
  <c r="K35"/>
  <c r="K68"/>
  <c r="K67"/>
  <c r="K66"/>
  <c r="K65"/>
  <c r="K48"/>
  <c r="K40"/>
  <c r="K97" l="1"/>
  <c r="K81"/>
  <c r="K70"/>
  <c r="K64"/>
  <c r="K57"/>
  <c r="K61"/>
  <c r="K49"/>
  <c r="K47"/>
  <c r="K39"/>
  <c r="K29"/>
  <c r="J32"/>
  <c r="J20"/>
  <c r="K20" s="1"/>
  <c r="J18"/>
  <c r="K18" s="1"/>
  <c r="J19"/>
  <c r="K19" s="1"/>
  <c r="J17"/>
  <c r="K75" l="1"/>
  <c r="J36"/>
  <c r="J71" s="1"/>
  <c r="K32"/>
  <c r="J21"/>
  <c r="K17"/>
  <c r="K98"/>
  <c r="K88"/>
  <c r="K76"/>
  <c r="K36" l="1"/>
  <c r="J22"/>
  <c r="K21"/>
  <c r="K22" l="1"/>
  <c r="J113"/>
  <c r="K113" s="1"/>
  <c r="K42"/>
  <c r="K71"/>
  <c r="U55" i="1" l="1"/>
  <c r="T55"/>
  <c r="O55"/>
  <c r="V54"/>
  <c r="R54"/>
  <c r="V53"/>
  <c r="R53"/>
  <c r="V55" l="1"/>
  <c r="R55"/>
  <c r="R109" l="1"/>
  <c r="R177"/>
  <c r="R175"/>
  <c r="R174"/>
  <c r="R166"/>
  <c r="R165"/>
  <c r="R164"/>
  <c r="R163"/>
  <c r="R162"/>
  <c r="R161"/>
  <c r="R157"/>
  <c r="R156"/>
  <c r="R155"/>
  <c r="R154"/>
  <c r="R153"/>
  <c r="R152"/>
  <c r="R151"/>
  <c r="R145"/>
  <c r="R139"/>
  <c r="R138"/>
  <c r="R135"/>
  <c r="R128"/>
  <c r="R122"/>
  <c r="R121"/>
  <c r="R119"/>
  <c r="R115"/>
  <c r="R113"/>
  <c r="R112"/>
  <c r="R111"/>
  <c r="R110"/>
  <c r="R105"/>
  <c r="R104"/>
  <c r="R99"/>
  <c r="R94"/>
  <c r="R90"/>
  <c r="R82"/>
  <c r="R74"/>
  <c r="R73"/>
  <c r="R72"/>
  <c r="R71"/>
  <c r="R70"/>
  <c r="R66"/>
  <c r="R63"/>
  <c r="R62"/>
  <c r="R61"/>
  <c r="R60"/>
  <c r="R57"/>
  <c r="R47"/>
  <c r="R46"/>
  <c r="R44"/>
  <c r="R40"/>
  <c r="R38"/>
  <c r="R37"/>
  <c r="R36"/>
  <c r="R35"/>
  <c r="R20"/>
  <c r="R19"/>
  <c r="R18"/>
  <c r="R17"/>
  <c r="R16"/>
  <c r="R7"/>
  <c r="V7"/>
  <c r="V177"/>
  <c r="V175"/>
  <c r="V174"/>
  <c r="V166"/>
  <c r="V165"/>
  <c r="V164"/>
  <c r="V163"/>
  <c r="V162"/>
  <c r="V161"/>
  <c r="V157"/>
  <c r="V156"/>
  <c r="V155"/>
  <c r="V154"/>
  <c r="V153"/>
  <c r="V152"/>
  <c r="V151"/>
  <c r="V145"/>
  <c r="V144"/>
  <c r="V143"/>
  <c r="V139"/>
  <c r="V138"/>
  <c r="V135"/>
  <c r="V128"/>
  <c r="V122"/>
  <c r="V121"/>
  <c r="V119"/>
  <c r="V115"/>
  <c r="V113"/>
  <c r="V112"/>
  <c r="V111"/>
  <c r="V110"/>
  <c r="V109"/>
  <c r="V105"/>
  <c r="V104"/>
  <c r="V99"/>
  <c r="V94"/>
  <c r="V90"/>
  <c r="V87"/>
  <c r="V82"/>
  <c r="V74"/>
  <c r="V73"/>
  <c r="V72"/>
  <c r="V71"/>
  <c r="V70"/>
  <c r="V66"/>
  <c r="V63"/>
  <c r="V62"/>
  <c r="V61"/>
  <c r="V60"/>
  <c r="V57"/>
  <c r="V47"/>
  <c r="V46"/>
  <c r="V44"/>
  <c r="V40"/>
  <c r="V38"/>
  <c r="V37"/>
  <c r="V36"/>
  <c r="V35"/>
  <c r="V34"/>
  <c r="V30"/>
  <c r="V20"/>
  <c r="V19"/>
  <c r="V18"/>
  <c r="V17"/>
  <c r="V16"/>
  <c r="V12"/>
  <c r="V11"/>
  <c r="V10"/>
  <c r="V9"/>
  <c r="U13"/>
  <c r="U21"/>
  <c r="U41"/>
  <c r="U48"/>
  <c r="U67"/>
  <c r="U106"/>
  <c r="U116"/>
  <c r="U146"/>
  <c r="U147" s="1"/>
  <c r="U158"/>
  <c r="U167"/>
  <c r="U178"/>
  <c r="T178"/>
  <c r="T167"/>
  <c r="T158"/>
  <c r="T146"/>
  <c r="T147" s="1"/>
  <c r="T129"/>
  <c r="T106"/>
  <c r="T91"/>
  <c r="T67"/>
  <c r="T48"/>
  <c r="T41"/>
  <c r="T21"/>
  <c r="T13"/>
  <c r="O178"/>
  <c r="O167"/>
  <c r="O158"/>
  <c r="O116"/>
  <c r="O106"/>
  <c r="O67"/>
  <c r="O48"/>
  <c r="O21"/>
  <c r="I74" i="20" l="1"/>
  <c r="I77" s="1"/>
  <c r="I110" s="1"/>
  <c r="U77" i="1"/>
  <c r="T77"/>
  <c r="R67"/>
  <c r="R106"/>
  <c r="R21"/>
  <c r="T22"/>
  <c r="T183" s="1"/>
  <c r="R178"/>
  <c r="R167"/>
  <c r="V106"/>
  <c r="V67"/>
  <c r="V21"/>
  <c r="R48"/>
  <c r="R116"/>
  <c r="V48"/>
  <c r="V146"/>
  <c r="V13"/>
  <c r="R158"/>
  <c r="V178"/>
  <c r="V158"/>
  <c r="V167"/>
  <c r="V116"/>
  <c r="V76"/>
  <c r="V41"/>
  <c r="U168"/>
  <c r="U22"/>
  <c r="U183" s="1"/>
  <c r="T168"/>
  <c r="O168"/>
  <c r="V183" l="1"/>
  <c r="V22"/>
  <c r="R168"/>
  <c r="V77"/>
  <c r="V168"/>
  <c r="I111" i="20" l="1"/>
  <c r="I114"/>
  <c r="I115" s="1"/>
  <c r="R132" i="1"/>
  <c r="R81" l="1"/>
  <c r="R87" l="1"/>
  <c r="R91" l="1"/>
  <c r="U91" l="1"/>
  <c r="V81"/>
  <c r="V91" l="1"/>
  <c r="R126" l="1"/>
  <c r="R125"/>
  <c r="O129"/>
  <c r="E74" i="20" l="1"/>
  <c r="E143" i="1"/>
  <c r="O143"/>
  <c r="R129"/>
  <c r="E75" i="20" l="1"/>
  <c r="AD143" i="1"/>
  <c r="AE143"/>
  <c r="AC143"/>
  <c r="G74" i="20"/>
  <c r="V126" i="1"/>
  <c r="Q144" l="1"/>
  <c r="R144"/>
  <c r="U129"/>
  <c r="J74" i="20" s="1"/>
  <c r="V125" i="1"/>
  <c r="K74" i="20" l="1"/>
  <c r="J77"/>
  <c r="V129" i="1"/>
  <c r="J110" i="20" l="1"/>
  <c r="K77"/>
  <c r="J111" l="1"/>
  <c r="K111" s="1"/>
  <c r="J114"/>
  <c r="K110"/>
  <c r="E9"/>
  <c r="E10"/>
  <c r="E11"/>
  <c r="O13" i="1"/>
  <c r="O22" s="1"/>
  <c r="O183" s="1"/>
  <c r="E12" i="20"/>
  <c r="K114" l="1"/>
  <c r="J115"/>
  <c r="K115" s="1"/>
  <c r="E13"/>
  <c r="E22" s="1"/>
  <c r="E113" s="1"/>
  <c r="O26" i="1"/>
  <c r="O29" l="1"/>
  <c r="O30" l="1"/>
  <c r="E25" i="20" l="1"/>
  <c r="R11" i="1"/>
  <c r="F11" i="20"/>
  <c r="G11" s="1"/>
  <c r="Q11" i="1"/>
  <c r="R12"/>
  <c r="Q12"/>
  <c r="F12" i="20"/>
  <c r="G12" s="1"/>
  <c r="R9" i="1"/>
  <c r="F9" i="20"/>
  <c r="G9" s="1"/>
  <c r="Q9" i="1"/>
  <c r="R10"/>
  <c r="F10" i="20"/>
  <c r="G10" s="1"/>
  <c r="P13" i="1"/>
  <c r="R13" s="1"/>
  <c r="Q10"/>
  <c r="Q13" l="1"/>
  <c r="Q22" s="1"/>
  <c r="F13" i="20"/>
  <c r="P22" i="1"/>
  <c r="P183" s="1"/>
  <c r="R183" l="1"/>
  <c r="Q183"/>
  <c r="R22"/>
  <c r="P26"/>
  <c r="F22" i="20"/>
  <c r="F113" s="1"/>
  <c r="G113" s="1"/>
  <c r="G13"/>
  <c r="G22" l="1"/>
  <c r="Q26" i="1"/>
  <c r="P29"/>
  <c r="Q29" l="1"/>
  <c r="Q30" s="1"/>
  <c r="P30"/>
  <c r="R30" l="1"/>
  <c r="F25" i="20"/>
  <c r="G25" l="1"/>
  <c r="O41" i="1"/>
  <c r="E29" i="20"/>
  <c r="E36" s="1"/>
  <c r="E71" s="1"/>
  <c r="R34" i="1"/>
  <c r="F29" i="20"/>
  <c r="F36" s="1"/>
  <c r="P41" i="1"/>
  <c r="Q34"/>
  <c r="Q41" s="1"/>
  <c r="Q77" s="1"/>
  <c r="R41" l="1"/>
  <c r="G36" i="20"/>
  <c r="P77" i="1"/>
  <c r="G29" i="20"/>
  <c r="F71"/>
  <c r="G71" l="1"/>
  <c r="F110"/>
  <c r="F114" s="1"/>
  <c r="F115" l="1"/>
  <c r="F111"/>
  <c r="R100" i="1"/>
  <c r="P180" l="1"/>
  <c r="P184" s="1"/>
  <c r="R143"/>
  <c r="Q143"/>
  <c r="Q146" s="1"/>
  <c r="Q147" s="1"/>
  <c r="O146"/>
  <c r="O147" s="1"/>
  <c r="P181" l="1"/>
  <c r="R146"/>
  <c r="P185"/>
  <c r="G75" i="20"/>
  <c r="E77"/>
  <c r="E110" l="1"/>
  <c r="G77"/>
  <c r="R147" i="1"/>
  <c r="E114" i="20" l="1"/>
  <c r="E111"/>
  <c r="G111" s="1"/>
  <c r="G110"/>
  <c r="E115" l="1"/>
  <c r="G115" s="1"/>
  <c r="G114"/>
  <c r="Q180" i="1" l="1"/>
  <c r="Q181" s="1"/>
  <c r="T180"/>
  <c r="T184" l="1"/>
  <c r="T185" s="1"/>
  <c r="T181"/>
  <c r="V100"/>
  <c r="U180" l="1"/>
  <c r="V180" s="1"/>
  <c r="V147"/>
  <c r="U184" l="1"/>
  <c r="V184" s="1"/>
  <c r="U181"/>
  <c r="V181" s="1"/>
  <c r="U185" l="1"/>
  <c r="V185" s="1"/>
  <c r="E5" i="21"/>
  <c r="E6" s="1"/>
  <c r="E10" s="1"/>
  <c r="E14" s="1"/>
  <c r="E17" l="1"/>
  <c r="E19" s="1"/>
  <c r="E32" l="1"/>
  <c r="E33" s="1"/>
  <c r="E35" s="1"/>
  <c r="E43"/>
  <c r="E46" s="1"/>
  <c r="E47" s="1"/>
  <c r="E36" l="1"/>
  <c r="E56"/>
  <c r="E59" s="1"/>
  <c r="R181" i="1"/>
  <c r="R76"/>
  <c r="O77"/>
  <c r="O180" s="1"/>
  <c r="R77" l="1"/>
  <c r="R180"/>
  <c r="O181"/>
  <c r="O184"/>
  <c r="R184" l="1"/>
  <c r="O185"/>
  <c r="Q184"/>
  <c r="Q185" l="1"/>
  <c r="R185"/>
</calcChain>
</file>

<file path=xl/comments1.xml><?xml version="1.0" encoding="utf-8"?>
<comments xmlns="http://schemas.openxmlformats.org/spreadsheetml/2006/main">
  <authors>
    <author>Dawn Jacobson</author>
  </authors>
  <commentList>
    <comment ref="G82"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5" authorId="0">
      <text>
        <r>
          <rPr>
            <b/>
            <sz val="9"/>
            <color indexed="81"/>
            <rFont val="Tahoma"/>
            <family val="2"/>
          </rPr>
          <t>Dawn Jacobson:</t>
        </r>
        <r>
          <rPr>
            <sz val="9"/>
            <color indexed="81"/>
            <rFont val="Tahoma"/>
            <family val="2"/>
          </rPr>
          <t xml:space="preserve">
Don't Include (Comp Package assumed all was income nothing to Pension)</t>
        </r>
      </text>
    </comment>
    <comment ref="H4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sharedStrings.xml><?xml version="1.0" encoding="utf-8"?>
<sst xmlns="http://schemas.openxmlformats.org/spreadsheetml/2006/main" count="566" uniqueCount="430">
  <si>
    <t>Income</t>
  </si>
  <si>
    <t>Envelope Giving</t>
  </si>
  <si>
    <t>Easter Offerings</t>
  </si>
  <si>
    <t>Thanksgiving Offerings</t>
  </si>
  <si>
    <t>Christmas Offerings</t>
  </si>
  <si>
    <t>Lenten Offerings</t>
  </si>
  <si>
    <t>Total Envelope Giving</t>
  </si>
  <si>
    <t>Misc Income</t>
  </si>
  <si>
    <t>Loose Offerings</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</si>
  <si>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</si>
  <si>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</si>
  <si>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</si>
  <si>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</si>
  <si>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</si>
  <si>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</si>
  <si>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</si>
  <si>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</si>
  <si>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</si>
  <si>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</si>
  <si>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</si>
  <si>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</si>
  <si>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</si>
  <si>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</si>
  <si>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</si>
  <si>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</si>
  <si>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</si>
  <si>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</si>
  <si>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</si>
  <si>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</si>
  <si>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</si>
  <si>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</si>
  <si>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</si>
  <si>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</si>
  <si>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</si>
  <si>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</si>
  <si>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</si>
  <si>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</si>
  <si>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</si>
  <si>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</si>
  <si>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</si>
  <si>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</si>
  <si>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</si>
  <si>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Pension/Insurance</t>
  </si>
  <si>
    <t>Supplemental Insurance</t>
  </si>
  <si>
    <t>Continuing Education</t>
  </si>
  <si>
    <t>Salary</t>
  </si>
  <si>
    <t>Travel Expense</t>
  </si>
  <si>
    <t>Youth Assistant</t>
  </si>
  <si>
    <t>Total Youth Director</t>
  </si>
  <si>
    <t>Dental Premium</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</si>
  <si>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</si>
  <si>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</si>
  <si>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</si>
  <si>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</si>
  <si>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</si>
  <si>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</si>
  <si>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</si>
  <si>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</si>
  <si>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</si>
  <si>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</si>
  <si>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</si>
  <si>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</si>
  <si>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</si>
  <si>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</si>
  <si>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</si>
  <si>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</si>
  <si>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</si>
  <si>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</si>
  <si>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</si>
  <si>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</si>
  <si>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</si>
  <si>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</si>
  <si>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</si>
  <si>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</si>
  <si>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</si>
  <si>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</si>
  <si>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</si>
  <si>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</si>
  <si>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</si>
  <si>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</si>
  <si>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</si>
  <si>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</si>
  <si>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</si>
  <si>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</si>
  <si>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</si>
  <si>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</si>
  <si>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</si>
  <si>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</si>
  <si>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</si>
  <si>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</si>
  <si>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</si>
  <si>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</si>
  <si>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</si>
  <si>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</si>
  <si>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</si>
  <si>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</si>
  <si>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</si>
  <si>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</si>
  <si>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</si>
  <si>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</si>
  <si>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</si>
  <si>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Financial Secretary</t>
  </si>
  <si>
    <t>Maint.  Supplies</t>
  </si>
  <si>
    <t>Salary Calc Estimate</t>
  </si>
  <si>
    <t>Staff Contingency</t>
  </si>
  <si>
    <t>Maintenance Contracts</t>
  </si>
  <si>
    <t>Other Benefits and taxes</t>
  </si>
  <si>
    <t>Increase for Staff</t>
  </si>
  <si>
    <t>Increase for Music</t>
  </si>
  <si>
    <t>Total Staff</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</si>
  <si>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</si>
  <si>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</si>
  <si>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</si>
  <si>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</si>
  <si>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</si>
  <si>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</si>
  <si>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</si>
  <si>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</si>
  <si>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</si>
  <si>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</si>
  <si>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</si>
  <si>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</si>
  <si>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Deacon</t>
  </si>
  <si>
    <t>Projectionist</t>
  </si>
  <si>
    <t>Organ/Piano Maintenance</t>
  </si>
  <si>
    <t>Same as last year</t>
  </si>
  <si>
    <t>Sames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</si>
  <si>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</si>
  <si>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</si>
  <si>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</si>
  <si>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</si>
  <si>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</si>
  <si>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</si>
  <si>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</si>
  <si>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</si>
  <si>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</si>
  <si>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</si>
  <si>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</si>
  <si>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</si>
  <si>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</si>
  <si>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Sames as last year.  Copy paper reduction.  Less announcements/printing, etc.  Per Janice, we will need additional color printing in 2017 for key communication</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</si>
  <si>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</si>
  <si>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</si>
  <si>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</si>
  <si>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Reimbursement for out-of pocket medical expenses that are not covered under spouse's medical insurance.  (Regular salary time only:  July - Dec)</t>
  </si>
  <si>
    <t>Dental Premium is not needed for 2017</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</si>
  <si>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</si>
  <si>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</si>
  <si>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</si>
  <si>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</si>
  <si>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</si>
  <si>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</si>
  <si>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6 months of transition salary ($7,195.75) plus 6 months at 2016 rate.  Readdress in July Janice's pay</t>
  </si>
  <si>
    <t>2% increase:  (Current hourly rate of $14.42*(1+0.02) = $14.78/hour at 20 hours per week for 52 weeks (should cover any needed hours over 20 in business times).  Last year we assumed $14.28/hour for 17 hours at 52 weeks</t>
  </si>
  <si>
    <t>On budget of $702/month effective October 2016.  Currently saved $362.  Announced 16% increase in costs</t>
  </si>
  <si>
    <t>Annual Monitoring Fee is $21.95/month paid once a year….plus additional keys</t>
  </si>
  <si>
    <t>New phone was purchased for Dori in 2016 resulting in $137/month for Janice &amp; Dori (was $159/month).  Suggest additioan $80/month for new Pastor phone and $150 for new phone plus small additioanl for contingency and/or rate adjustment</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</si>
  <si>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</si>
  <si>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</si>
  <si>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</si>
  <si>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</si>
  <si>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Jay to check why Lynette has not been paid yet this year.</t>
  </si>
  <si>
    <t>2% increase</t>
  </si>
  <si>
    <t>2$ increase</t>
  </si>
  <si>
    <t>5% increase to align better the $ per service between 8am and 10am music services</t>
  </si>
  <si>
    <t>Same as 2016</t>
  </si>
  <si>
    <t>Facilities Fund Reserve</t>
  </si>
  <si>
    <t>Worship</t>
  </si>
  <si>
    <t>Total Worship</t>
  </si>
  <si>
    <t>Total Deacon</t>
  </si>
  <si>
    <t>Senior Pastor</t>
  </si>
  <si>
    <t>Total Senior Pastor</t>
  </si>
  <si>
    <t>Facilities Maintenance</t>
  </si>
  <si>
    <t>Holden and Hymn Services</t>
  </si>
  <si>
    <t>As requested.</t>
  </si>
  <si>
    <t>Operating Expenses</t>
  </si>
  <si>
    <t>Band Subs</t>
  </si>
  <si>
    <t>Dori Rossmann</t>
  </si>
  <si>
    <t>J. Sodke</t>
  </si>
  <si>
    <t>J. Sensig</t>
  </si>
  <si>
    <t>Dee Bliss</t>
  </si>
  <si>
    <t>Chuck Petrach</t>
  </si>
  <si>
    <t>% chg</t>
  </si>
  <si>
    <t>Avg Hrs/Wk</t>
  </si>
  <si>
    <t>$/hr</t>
  </si>
  <si>
    <t>Hourly</t>
  </si>
  <si>
    <t>Budget Year</t>
  </si>
  <si>
    <t># Wk/Yr</t>
  </si>
  <si>
    <t>$200/Sunday for 10 weeks</t>
  </si>
  <si>
    <t>Parish Secretary</t>
  </si>
  <si>
    <t>Target is to have expenses no greater than the estimated envelope giving.</t>
  </si>
  <si>
    <t>Director of Youth Ministry</t>
  </si>
  <si>
    <t>Lead Pastor</t>
  </si>
  <si>
    <t>Operating Income (Envelope Giving)</t>
  </si>
  <si>
    <t>Net Operating Income/(Loss)</t>
  </si>
  <si>
    <t>2018:  Lower per Deacon Janice's recommendation (email 11/14/17)</t>
  </si>
  <si>
    <t>Need to add this back</t>
  </si>
  <si>
    <t>Housing</t>
  </si>
  <si>
    <t>Elected</t>
  </si>
  <si>
    <t>Total</t>
  </si>
  <si>
    <t>Per Compensation Package</t>
  </si>
  <si>
    <t xml:space="preserve">Per Compensation Package.     </t>
  </si>
  <si>
    <t>Pension</t>
  </si>
  <si>
    <t>Other Insurance</t>
  </si>
  <si>
    <t>Medical &amp; Dental Insurance</t>
  </si>
  <si>
    <t>Disability</t>
  </si>
  <si>
    <t>Group Life</t>
  </si>
  <si>
    <t>Retiree</t>
  </si>
  <si>
    <t>For 2018, Pastor Pahl has choosen to waive both Medical and Dental coverage.</t>
  </si>
  <si>
    <t>Medical/Dental premium
     Allowance</t>
  </si>
  <si>
    <t>Synod COLA</t>
  </si>
  <si>
    <t>Disability, Group Life, and Retiree Support</t>
  </si>
  <si>
    <t>Salary and Housing</t>
  </si>
  <si>
    <t>J. Nelson plus others.</t>
  </si>
  <si>
    <t>2017 was 11% for Pension, in 2018 it is 12% plus Disability, Basic Group Life and Retiree Support.</t>
  </si>
  <si>
    <t>% of Year</t>
  </si>
  <si>
    <t>Insurance Provision</t>
  </si>
  <si>
    <t>Operating Expenses unexpectedly exceed Income (Income shortfall).  Finance Committee approves and takes recommendation to the Excutive Council.</t>
  </si>
  <si>
    <t>Unforeseen Health Care changes.  Finance Committee Approves and takes recommendation to the Executive Council.</t>
  </si>
  <si>
    <t>Staff Salary and Wages*</t>
  </si>
  <si>
    <t>*    Includes salary increases which will be distributed based on annual performance reviews.</t>
  </si>
  <si>
    <t>2018:  75% Deacon plus 2% and 25% Lead Pastor Salary</t>
  </si>
  <si>
    <t>Internship</t>
  </si>
  <si>
    <t>Parish/Finance Secretary</t>
  </si>
  <si>
    <t>Communications Secretary</t>
  </si>
  <si>
    <t>Finance Secretary Temp</t>
  </si>
  <si>
    <t>Pastor Transition</t>
  </si>
  <si>
    <t>Requested was $2,000 for new curriculum being order (over 2 years - last year and this year) $1,200, Carnival $200, Bibles $0, Christmas Program $350, and CLC $250.</t>
  </si>
  <si>
    <t>Purchasing books to coincide with Sunday School lessons to supplement teachings.  2018 actuals was $500.  Congregation member made donation to get library back to budget.</t>
  </si>
  <si>
    <t>Requested total of $200 for Cake and Materials $100 and Curriculum $100.</t>
  </si>
  <si>
    <t>Requested was Materials $200</t>
  </si>
  <si>
    <t>Requested $750 for materials.</t>
  </si>
  <si>
    <t>Youth Night Food &amp; Projects $7,208, Fright Fest $500, Winter Retreat $292, Winter Retreat Bus $300, Mission Trip 4 Chaperones $4,000 (combined middle/high school trip), 2 Lock-ins $500 (Food and Community service project).</t>
  </si>
  <si>
    <t>Intern</t>
  </si>
  <si>
    <t>Total Intern</t>
  </si>
  <si>
    <r>
      <t xml:space="preserve">2019:  Requested $1,000 in total for Gowns $200, Breakfast $350, Cake $50, Pictures $200, Flowers $100 and Gifts $100.  </t>
    </r>
    <r>
      <rPr>
        <b/>
        <sz val="11"/>
        <color rgb="FFFF0000"/>
        <rFont val="Calibri"/>
        <family val="2"/>
        <scheme val="minor"/>
      </rPr>
      <t xml:space="preserve">Expecting 10-12 Confirmants.  2018:  Requested was $1,400 for 13 Confirmants but actual is on 8 confirmants for 2018.  </t>
    </r>
  </si>
  <si>
    <t>Summer Bible School</t>
  </si>
  <si>
    <t>2019:  Moved RIC Ad $250 to Benevolance and removed the tree.  Requested $750 in total for for Racine Interfaith Coalition advertising of $250, Native Preserve Tree $300, August Night out (Food) $200.  Tree and Night out are new requests this year.</t>
  </si>
  <si>
    <t>2019 Assembly will be in Milwaukee.  Assumes 3 congregation members plus Pastor.   Includes session cost and mileage.</t>
  </si>
  <si>
    <t>Assumes 2 mailings.</t>
  </si>
  <si>
    <t>2019 Request (Jim Sodke):  Choir Piano (2 times) and 3 other pianos (1 time) at $75/each time.  Grand Piano (3 times) at $150 each.  Organ Tuning (1 time) at 750.   Total $1,575.  Includes rate increase and/or minor repairs.</t>
  </si>
  <si>
    <t>Pastor:  Synod increase recommendation is 2% for 2019</t>
  </si>
  <si>
    <t>Deb Toff - back up for Cheryl.  2018 also included transition costs.</t>
  </si>
  <si>
    <t>Switched to Specrum and purchased 7 new phones (needed 5 but bought 2 extra for backup).  Needed 2 office, Pastor, Intern, and Marc/Cherly office).</t>
  </si>
  <si>
    <t>2018 high due to issues with the security.</t>
  </si>
  <si>
    <t>2019:  14% increase per Jay.  
2018:  Nationwide:  Commercial Umbrella, Commercial Property, Crime and General Liability.  Annual premium confirmed by Jay W. for 2018</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</si>
  <si>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</si>
  <si>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</si>
  <si>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</si>
  <si>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</si>
  <si>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</si>
  <si>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</si>
  <si>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Portion of Medical/Vision/Dental Elected to go into Salary</t>
  </si>
  <si>
    <t>SS Allowance %</t>
  </si>
  <si>
    <t>SS Tax</t>
  </si>
  <si>
    <t>Total Defined Comp.</t>
  </si>
  <si>
    <t>Health/Dental/Vision Difference</t>
  </si>
  <si>
    <t>Gross up</t>
  </si>
  <si>
    <t>Annually</t>
  </si>
  <si>
    <t>Health Premium Allowance</t>
  </si>
  <si>
    <t>To Salary</t>
  </si>
  <si>
    <t>To Pension</t>
  </si>
  <si>
    <t>Health Premium Allowance:</t>
  </si>
  <si>
    <t>Pension at 11%</t>
  </si>
  <si>
    <t>Health Premium Allow added to Pension</t>
  </si>
  <si>
    <t>Total Pension</t>
  </si>
  <si>
    <t>Budgeted</t>
  </si>
  <si>
    <t>Defined Comp.</t>
  </si>
  <si>
    <t>2019 Budget:  Exclude Pastor Salary for FICA/MED as this is included in her section.</t>
  </si>
  <si>
    <t>2019:  Requested $750 in total for Curriculum $500 (on-line cirriculum is $500 annually), and Materials $250.  They are looking at options with other Churches.  Increase is to support the 5 week summer program.
2018:  No Vacation Bible School in 2018.</t>
  </si>
  <si>
    <t>No requested budget was received.</t>
  </si>
  <si>
    <t>Move to separate staffing area.</t>
  </si>
  <si>
    <t>Trending higher than budget in 2018</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</si>
  <si>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</si>
  <si>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</si>
  <si>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</si>
  <si>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</si>
  <si>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</si>
  <si>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</si>
  <si>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</si>
  <si>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</si>
  <si>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</si>
  <si>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</si>
  <si>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</si>
  <si>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</si>
  <si>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</si>
  <si>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</si>
  <si>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</si>
  <si>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</si>
  <si>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</si>
  <si>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Per Compensation Package.  This excludes the $500 that is included for Sysnod Assembly (budgeted under Misc Programs).</t>
  </si>
  <si>
    <t>Includes Base Salary, Housing, FICA (Church Share only), and Portion of Premium Allowance</t>
  </si>
  <si>
    <t>Additional Out of pocket differences</t>
  </si>
  <si>
    <t xml:space="preserve">    Sub-total</t>
  </si>
  <si>
    <t xml:space="preserve">Total:  </t>
  </si>
  <si>
    <t>2018:  Nursery heating, Roof drains, kitchen sidewalk, Requested $8,000 for general wear/tear and $12,000 for parking lot (included in Facilities Fund Reserve).
2018:  Actuals include nursery radiator at $2,000 (not budgeted).</t>
  </si>
  <si>
    <t>True Emergency issues.  Approved by Executive Council only (Communicate with Finance Committee afterwards)</t>
  </si>
  <si>
    <t>2019:  Includes $12,000 for Parking Lot.  Large Building and grounds needs for facility up-keep.  Finance Committee Approves and takes recommedation to the Council BEFORE Spending can occur.</t>
  </si>
  <si>
    <t>Fees to Seminary</t>
  </si>
  <si>
    <t>$500 Cluster Meeting, $500 Travel Pool, and $1,000 Admin. Fee</t>
  </si>
  <si>
    <t>This is the church's portion of SS.  It is not included in calculation line "Church - FICA/MED"</t>
  </si>
  <si>
    <t>Prorated the Sept YTD $2,538/9*12 = $3,384</t>
  </si>
  <si>
    <t>Start Jan. 16, 2018</t>
  </si>
  <si>
    <t>$40/Month.</t>
  </si>
  <si>
    <t>Dori's cell phone - 2 year contract beginning 11/7/18</t>
  </si>
  <si>
    <t>Jay will communication to Church &amp; Society that the RIC adv $ will be part of Benevolance and tree is not funded.</t>
  </si>
  <si>
    <t>2019:  Heather new computer  Kim/Cheryl new computer 11/2016 and Janice got a new printer also.</t>
  </si>
  <si>
    <t>Marc Henkel:  2018 is over spent.   2017 is over spent.  New Coffee Maker at $105 was part. They need to stay at budget.  Youth night and funeral, etc for plates/cups/napkins</t>
  </si>
  <si>
    <t>Cell Phone $40/Month</t>
  </si>
  <si>
    <t>Includes Pastor, Dori, Custodians, Heather for 2019 add Cheryl in 2020</t>
  </si>
  <si>
    <t>Cheryl</t>
  </si>
  <si>
    <t>Non Salary/Benefets/Tax costs</t>
  </si>
  <si>
    <t>2019:  Estimate per Jay;  $600 Vanco, $996 Johnson Bank (Per month:  $20 Online Banking, $40 Remote Deposit, $15 ACH Module and $8/transaction over 250 Transactions…Estimated $83/Month) and $85 for Safty Deposit Box….Round up to $1,700</t>
  </si>
  <si>
    <t>Current 2019 Budget</t>
  </si>
  <si>
    <t>New Proposal 2019 Budget</t>
  </si>
  <si>
    <t>Director of Contemporary Worship</t>
  </si>
  <si>
    <t>Sound payments</t>
  </si>
  <si>
    <t>From Worship Supplies</t>
  </si>
  <si>
    <t>Total Sound Budget</t>
  </si>
  <si>
    <t>$ Remaining</t>
  </si>
  <si>
    <t>Projectionist:</t>
  </si>
  <si>
    <t>Total Performance Events</t>
  </si>
  <si>
    <t xml:space="preserve">     Revelation Band Perform for Advent</t>
  </si>
  <si>
    <t xml:space="preserve">     Revelation Band Perform for Lent</t>
  </si>
  <si>
    <t>Additional Performance Events:</t>
  </si>
  <si>
    <t>2019 Calendar of Sundays/Special Days</t>
  </si>
  <si>
    <t xml:space="preserve"> </t>
  </si>
  <si>
    <t>Total Sundays</t>
  </si>
  <si>
    <t>May</t>
  </si>
  <si>
    <t>June</t>
  </si>
  <si>
    <t>July</t>
  </si>
  <si>
    <t>Sept</t>
  </si>
  <si>
    <t>Jan</t>
  </si>
  <si>
    <t>Feb</t>
  </si>
  <si>
    <t>Mar</t>
  </si>
  <si>
    <t>Apr</t>
  </si>
  <si>
    <t>Aug</t>
  </si>
  <si>
    <t>Oct</t>
  </si>
  <si>
    <t>Nov</t>
  </si>
  <si>
    <t>Dec</t>
  </si>
  <si>
    <t>Advent (Wednesdays)</t>
  </si>
  <si>
    <t>Lent (Wednesdays)</t>
  </si>
  <si>
    <t>Christmas is on Tuesday</t>
  </si>
  <si>
    <t>Memorial Day (May 27) - Labor Day (Sept 2)</t>
  </si>
  <si>
    <t>Summer Weeks</t>
  </si>
  <si>
    <t>Don't Play for Advent</t>
  </si>
  <si>
    <t>Play All Lent Wednesdays</t>
  </si>
  <si>
    <t>Total Practice Pay</t>
  </si>
  <si>
    <t xml:space="preserve">    Pay per Practice per Person</t>
  </si>
  <si>
    <t xml:space="preserve">    Pay per Preformance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</si>
  <si>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</si>
  <si>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</si>
  <si>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</si>
  <si>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</si>
  <si>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</si>
  <si>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</si>
  <si>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</si>
  <si>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</si>
  <si>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</si>
  <si>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</si>
  <si>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</si>
  <si>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</si>
  <si>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</si>
  <si>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</si>
  <si>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</si>
  <si>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</si>
  <si>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</si>
  <si>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</si>
  <si>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</si>
  <si>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</si>
  <si>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</si>
  <si>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</si>
  <si>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</si>
  <si>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</si>
  <si>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</si>
  <si>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2019 Budget Worksheet</t>
  </si>
  <si>
    <t>Excludes Summer Outside Services</t>
  </si>
  <si>
    <t xml:space="preserve">     Number of Projectionist People per event</t>
  </si>
  <si>
    <t>In 2018 we budgeted for 7 members</t>
  </si>
  <si>
    <t>Less than 2018 due to only 6 members</t>
  </si>
  <si>
    <t>Total Summer/Sub Band</t>
  </si>
  <si>
    <t>Revelation Band, Summer/Sub Band and Equip. Set up, Sound Support, and Projectionist</t>
  </si>
  <si>
    <t xml:space="preserve">     Pay per Equipment set up</t>
  </si>
  <si>
    <t xml:space="preserve">     Number of Summer Equip. set up people</t>
  </si>
  <si>
    <t>Total Summer Equipment set up</t>
  </si>
  <si>
    <t>Total Summer/Sub Band and Equip. set up</t>
  </si>
  <si>
    <t>L. Jacobson (this includes the previous $900 2017/18 Budget for Yout Choir Assistant)</t>
  </si>
  <si>
    <t>L. Jacobson (moved in 2018/19 budget to the Director of Contemporary Worship line)</t>
  </si>
  <si>
    <t>Total Sundays (excluding Summer Weeks)</t>
  </si>
  <si>
    <t>This is for preparing the music and does not include practice or performance of music.  It includes the funding for the Youth Choir Assistant ($900)  but does not include performance or practices</t>
  </si>
  <si>
    <t>In 2017/18 budget was $1,000 under worship supplies</t>
  </si>
  <si>
    <t>Average per year</t>
  </si>
  <si>
    <t>Sound Support</t>
  </si>
  <si>
    <t>2018:  Was included in Revelation Band</t>
  </si>
  <si>
    <t>2019:  Requested $5,000 but included $1,000 for Sound Support payments which was moved to the new Sound Support line.</t>
  </si>
  <si>
    <t>2019:  Paid by $50 per person and includes Equipment set up of $25 per person.  2018:  25% of the year substitute for Revelation Band.  Includes 2% increase.</t>
  </si>
  <si>
    <t>SUMMER/SUB BAND AND EQUIP. SET UP:</t>
  </si>
  <si>
    <t>Pool $</t>
  </si>
  <si>
    <t>Staff</t>
  </si>
  <si>
    <t>Music</t>
  </si>
  <si>
    <t>Summer/Sub Bands and Equip. Set up</t>
  </si>
  <si>
    <t>Pay Rates for 2019</t>
  </si>
  <si>
    <t>Lutheran Church of the Ressurrection</t>
  </si>
  <si>
    <t>Note for 2020:  Add 3 members for Christmas Service and ?</t>
  </si>
  <si>
    <t>This Does NOT include the Sound Support.  Sound Support is separate.  Lynette is to turn in by name who attended practise and who played at Sunday service each week.</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</si>
  <si>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</si>
  <si>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</si>
  <si>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</si>
  <si>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</si>
  <si>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</si>
  <si>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Parish/Finance Secreetary</t>
  </si>
  <si>
    <t>Lead Custodian - Mark</t>
  </si>
  <si>
    <t>Custodian - Rebecca</t>
  </si>
  <si>
    <t>Custodian - New</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</si>
  <si>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</si>
  <si>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</si>
  <si>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</si>
  <si>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</si>
  <si>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</si>
  <si>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</si>
  <si>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</si>
  <si>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Advent Envelopes</t>
  </si>
  <si>
    <t>July YTD Actual</t>
  </si>
  <si>
    <t>July YTD Budget</t>
  </si>
  <si>
    <t>????</t>
  </si>
  <si>
    <t>Professional Fees</t>
  </si>
  <si>
    <t>Love God</t>
  </si>
  <si>
    <t>Changing Lives</t>
  </si>
  <si>
    <t>Reaching Out</t>
  </si>
  <si>
    <t>Building</t>
  </si>
</sst>
</file>

<file path=xl/styles.xml><?xml version="1.0" encoding="utf-8"?>
<styleSheet xmlns="http://schemas.openxmlformats.org/spreadsheetml/2006/main">
  <numFmts count="11">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s>
  <fonts count="29">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s>
  <fills count="12">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95">
    <xf numFmtId="0" fontId="0" fillId="0" borderId="0" xfId="0"/>
    <xf numFmtId="164" fontId="0" fillId="0" borderId="0" xfId="1" applyNumberFormat="1" applyFont="1" applyAlignment="1">
      <alignment vertical="center"/>
    </xf>
    <xf numFmtId="164" fontId="2" fillId="0" borderId="1"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164" fontId="2" fillId="0" borderId="9"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43" fontId="0" fillId="0" borderId="0" xfId="3" applyFont="1" applyAlignment="1">
      <alignment vertical="center"/>
    </xf>
    <xf numFmtId="164" fontId="13" fillId="8" borderId="0" xfId="1" applyNumberFormat="1" applyFont="1" applyFill="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1" fillId="0" borderId="0" xfId="1" applyNumberFormat="1" applyFont="1" applyAlignment="1">
      <alignment horizontal="left" vertical="center" wrapText="1"/>
    </xf>
    <xf numFmtId="164" fontId="7" fillId="9" borderId="0" xfId="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8"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10" fontId="15" fillId="11" borderId="26" xfId="2" applyNumberFormat="1" applyFont="1" applyFill="1" applyBorder="1" applyAlignment="1">
      <alignment horizontal="center"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9" fontId="15" fillId="11" borderId="29" xfId="0" applyNumberFormat="1" applyFont="1" applyFill="1" applyBorder="1" applyAlignment="1">
      <alignment vertical="center"/>
    </xf>
    <xf numFmtId="5" fontId="2" fillId="11" borderId="29" xfId="0" applyNumberFormat="1" applyFont="1" applyFill="1" applyBorder="1" applyAlignment="1">
      <alignment horizontal="right" vertical="center"/>
    </xf>
    <xf numFmtId="0" fontId="0" fillId="11" borderId="9" xfId="0" applyFill="1" applyBorder="1" applyAlignment="1">
      <alignment vertical="center"/>
    </xf>
    <xf numFmtId="5" fontId="2" fillId="11" borderId="8" xfId="0" applyNumberFormat="1" applyFont="1" applyFill="1" applyBorder="1" applyAlignment="1">
      <alignment vertical="center"/>
    </xf>
    <xf numFmtId="5" fontId="2" fillId="11" borderId="10"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0" xfId="0" applyFont="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0" fillId="7" borderId="25" xfId="0" applyFill="1" applyBorder="1" applyAlignment="1">
      <alignment vertical="center"/>
    </xf>
    <xf numFmtId="0" fontId="0" fillId="7" borderId="0" xfId="0" applyFill="1" applyBorder="1" applyAlignment="1">
      <alignment vertical="center"/>
    </xf>
    <xf numFmtId="0" fontId="0" fillId="7" borderId="26" xfId="0" applyFill="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9" fontId="15" fillId="11" borderId="5" xfId="0" applyNumberFormat="1" applyFont="1" applyFill="1" applyBorder="1" applyAlignment="1">
      <alignment vertical="center"/>
    </xf>
    <xf numFmtId="5" fontId="0" fillId="11" borderId="26" xfId="0" applyNumberFormat="1" applyFill="1" applyBorder="1" applyAlignment="1">
      <alignment vertical="center"/>
    </xf>
    <xf numFmtId="5" fontId="15" fillId="11" borderId="26" xfId="0" applyNumberFormat="1" applyFont="1" applyFill="1" applyBorder="1" applyAlignment="1">
      <alignment vertical="center"/>
    </xf>
    <xf numFmtId="5" fontId="2" fillId="11" borderId="26" xfId="0" applyNumberFormat="1" applyFont="1" applyFill="1" applyBorder="1" applyAlignment="1">
      <alignment vertical="center"/>
    </xf>
    <xf numFmtId="165" fontId="0" fillId="11" borderId="10" xfId="2"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5" fontId="0" fillId="0" borderId="8" xfId="0" applyNumberFormat="1" applyFill="1" applyBorder="1" applyAlignment="1">
      <alignment vertical="center"/>
    </xf>
    <xf numFmtId="5" fontId="0" fillId="0" borderId="10" xfId="0" applyNumberFormat="1" applyFill="1" applyBorder="1" applyAlignment="1">
      <alignment vertical="center"/>
    </xf>
    <xf numFmtId="9" fontId="15" fillId="0" borderId="6" xfId="0" applyNumberFormat="1" applyFont="1" applyFill="1" applyBorder="1" applyAlignment="1">
      <alignment vertical="center"/>
    </xf>
    <xf numFmtId="9" fontId="15" fillId="0" borderId="5"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5" fontId="2" fillId="0" borderId="26" xfId="0" applyNumberFormat="1" applyFont="1" applyFill="1" applyBorder="1" applyAlignment="1">
      <alignment vertical="center"/>
    </xf>
    <xf numFmtId="5" fontId="8" fillId="0" borderId="26" xfId="0" applyNumberFormat="1" applyFont="1" applyFill="1" applyBorder="1" applyAlignment="1">
      <alignment vertical="center"/>
    </xf>
    <xf numFmtId="165" fontId="0" fillId="0" borderId="8" xfId="2"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0" fillId="11" borderId="5" xfId="0" applyFill="1" applyBorder="1" applyAlignment="1">
      <alignment vertical="center"/>
    </xf>
    <xf numFmtId="5" fontId="8" fillId="11" borderId="26" xfId="1" applyNumberFormat="1" applyFont="1" applyFill="1" applyBorder="1" applyAlignment="1">
      <alignment horizontal="right" vertical="center"/>
    </xf>
    <xf numFmtId="5" fontId="0" fillId="11" borderId="10" xfId="0" applyNumberFormat="1" applyFill="1" applyBorder="1" applyAlignment="1">
      <alignment vertical="center"/>
    </xf>
    <xf numFmtId="165" fontId="15" fillId="11" borderId="26" xfId="0" applyNumberFormat="1" applyFont="1" applyFill="1" applyBorder="1" applyAlignment="1">
      <alignment vertical="center"/>
    </xf>
    <xf numFmtId="165" fontId="7" fillId="11" borderId="26" xfId="0" applyNumberFormat="1" applyFont="1" applyFill="1" applyBorder="1" applyAlignment="1">
      <alignment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5" fontId="15" fillId="7" borderId="29" xfId="0" applyNumberFormat="1" applyFont="1" applyFill="1" applyBorder="1" applyAlignment="1">
      <alignment vertical="center"/>
    </xf>
    <xf numFmtId="5" fontId="15" fillId="7" borderId="26" xfId="0" applyNumberFormat="1"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2" fillId="0" borderId="32" xfId="1" applyNumberFormat="1" applyFont="1" applyFill="1" applyBorder="1" applyAlignment="1">
      <alignment horizontal="left" vertical="center" wrapText="1"/>
    </xf>
    <xf numFmtId="164" fontId="15" fillId="0" borderId="42" xfId="1" applyNumberFormat="1" applyFont="1" applyFill="1" applyBorder="1" applyAlignment="1">
      <alignment vertical="center"/>
    </xf>
    <xf numFmtId="164" fontId="15" fillId="0" borderId="33" xfId="1" applyNumberFormat="1" applyFont="1" applyFill="1" applyBorder="1" applyAlignment="1">
      <alignment vertical="center" wrapText="1"/>
    </xf>
    <xf numFmtId="164" fontId="15" fillId="0" borderId="43" xfId="1" applyNumberFormat="1" applyFont="1" applyFill="1" applyBorder="1" applyAlignment="1">
      <alignment vertical="center"/>
    </xf>
    <xf numFmtId="9" fontId="15" fillId="0" borderId="33" xfId="2" applyFont="1" applyBorder="1" applyAlignment="1">
      <alignment horizontal="center" vertical="center"/>
    </xf>
    <xf numFmtId="164" fontId="1" fillId="0" borderId="34" xfId="1" applyNumberFormat="1" applyFont="1" applyFill="1" applyBorder="1" applyAlignment="1">
      <alignment horizontal="left" vertical="center" wrapText="1"/>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6" xfId="1" applyNumberFormat="1" applyFont="1" applyFill="1" applyBorder="1" applyAlignment="1">
      <alignment horizontal="center" vertical="center"/>
    </xf>
    <xf numFmtId="37" fontId="15" fillId="0" borderId="32" xfId="1" applyNumberFormat="1" applyFont="1" applyFill="1" applyBorder="1" applyAlignment="1">
      <alignment horizontal="center" vertical="center"/>
    </xf>
    <xf numFmtId="165" fontId="7" fillId="0" borderId="32" xfId="2" applyNumberFormat="1" applyFont="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32" xfId="1" applyNumberFormat="1" applyFont="1" applyBorder="1" applyAlignment="1">
      <alignment horizontal="left" vertical="center" wrapText="1"/>
    </xf>
    <xf numFmtId="164" fontId="0" fillId="0" borderId="33" xfId="1" applyNumberFormat="1" applyFont="1" applyBorder="1" applyAlignment="1">
      <alignment horizontal="center" vertical="center" wrapText="1"/>
    </xf>
    <xf numFmtId="164" fontId="0" fillId="0" borderId="33" xfId="1" applyNumberFormat="1" applyFont="1" applyBorder="1" applyAlignment="1">
      <alignment horizontal="left" vertical="center" wrapText="1"/>
    </xf>
    <xf numFmtId="164" fontId="0" fillId="0" borderId="34" xfId="1" applyNumberFormat="1" applyFont="1" applyFill="1" applyBorder="1" applyAlignment="1">
      <alignment vertical="center" wrapText="1"/>
    </xf>
    <xf numFmtId="12" fontId="7" fillId="0" borderId="32" xfId="1"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Border="1" applyAlignment="1">
      <alignment vertical="center"/>
    </xf>
    <xf numFmtId="5" fontId="15" fillId="0" borderId="0" xfId="1" applyNumberFormat="1" applyFont="1" applyAlignment="1">
      <alignment vertical="center"/>
    </xf>
    <xf numFmtId="0" fontId="2" fillId="0" borderId="0" xfId="0" applyFont="1" applyFill="1" applyAlignment="1">
      <alignment vertical="center"/>
    </xf>
    <xf numFmtId="5" fontId="13" fillId="0" borderId="0" xfId="1" applyNumberFormat="1" applyFont="1" applyFill="1" applyAlignment="1">
      <alignment vertical="center"/>
    </xf>
    <xf numFmtId="0" fontId="15" fillId="0" borderId="0" xfId="0" applyFont="1" applyBorder="1" applyAlignment="1">
      <alignment vertical="center"/>
    </xf>
    <xf numFmtId="0" fontId="7" fillId="0" borderId="0" xfId="0"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53" xfId="0" applyBorder="1" applyAlignment="1">
      <alignment vertical="center"/>
    </xf>
    <xf numFmtId="5" fontId="15" fillId="0" borderId="8" xfId="1" applyNumberFormat="1" applyFont="1" applyBorder="1" applyAlignment="1">
      <alignment vertical="center"/>
    </xf>
    <xf numFmtId="5" fontId="15" fillId="0" borderId="0" xfId="1" applyNumberFormat="1" applyFont="1" applyBorder="1" applyAlignment="1">
      <alignment horizontal="right" vertical="center"/>
    </xf>
    <xf numFmtId="5" fontId="15" fillId="0" borderId="8" xfId="1" applyNumberFormat="1" applyFont="1" applyBorder="1" applyAlignment="1">
      <alignment horizontal="right" vertical="center"/>
    </xf>
    <xf numFmtId="0" fontId="15" fillId="0" borderId="6"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0" fillId="0" borderId="8" xfId="0" applyBorder="1" applyAlignment="1">
      <alignment horizontal="right" vertical="center"/>
    </xf>
    <xf numFmtId="5" fontId="7" fillId="0" borderId="6" xfId="1" applyNumberFormat="1" applyFont="1" applyBorder="1" applyAlignment="1">
      <alignment vertical="center"/>
    </xf>
    <xf numFmtId="5" fontId="7" fillId="0" borderId="0" xfId="1" applyNumberFormat="1" applyFont="1" applyBorder="1" applyAlignment="1">
      <alignment vertical="center"/>
    </xf>
    <xf numFmtId="0" fontId="0" fillId="0" borderId="0" xfId="0" applyBorder="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2" fillId="11" borderId="58" xfId="0" applyFont="1" applyFill="1" applyBorder="1" applyAlignment="1">
      <alignment vertical="center"/>
    </xf>
    <xf numFmtId="5" fontId="8" fillId="11" borderId="58" xfId="1" applyNumberFormat="1" applyFont="1" applyFill="1" applyBorder="1" applyAlignment="1">
      <alignment vertical="center"/>
    </xf>
    <xf numFmtId="0" fontId="0" fillId="11" borderId="58" xfId="0" applyFill="1" applyBorder="1" applyAlignment="1">
      <alignment vertical="center"/>
    </xf>
    <xf numFmtId="0" fontId="0" fillId="11" borderId="59" xfId="0" applyFill="1" applyBorder="1" applyAlignment="1">
      <alignment vertical="center"/>
    </xf>
    <xf numFmtId="0" fontId="2" fillId="11" borderId="60" xfId="0" applyFont="1" applyFill="1" applyBorder="1" applyAlignment="1">
      <alignment vertical="center"/>
    </xf>
    <xf numFmtId="0" fontId="0" fillId="11" borderId="61" xfId="0" applyFill="1" applyBorder="1" applyAlignment="1">
      <alignment vertical="center"/>
    </xf>
    <xf numFmtId="0" fontId="0" fillId="11" borderId="62" xfId="0" applyFill="1" applyBorder="1" applyAlignment="1">
      <alignment vertical="center"/>
    </xf>
    <xf numFmtId="0" fontId="7" fillId="0" borderId="0" xfId="0" applyFont="1" applyBorder="1" applyAlignment="1">
      <alignment horizontal="right" vertical="center"/>
    </xf>
    <xf numFmtId="0" fontId="0" fillId="0" borderId="0" xfId="0" quotePrefix="1" applyFill="1" applyBorder="1" applyAlignment="1">
      <alignment vertical="center"/>
    </xf>
    <xf numFmtId="0" fontId="0" fillId="0" borderId="63" xfId="0" applyBorder="1" applyAlignment="1">
      <alignment vertical="center"/>
    </xf>
    <xf numFmtId="0" fontId="7" fillId="0" borderId="64" xfId="0" applyFont="1" applyBorder="1" applyAlignment="1">
      <alignment horizontal="right" vertical="center"/>
    </xf>
    <xf numFmtId="0" fontId="0" fillId="0" borderId="64" xfId="0" applyBorder="1" applyAlignment="1">
      <alignment vertical="center"/>
    </xf>
    <xf numFmtId="0" fontId="0" fillId="0" borderId="64" xfId="0" quotePrefix="1" applyFill="1" applyBorder="1" applyAlignment="1">
      <alignment vertical="center"/>
    </xf>
    <xf numFmtId="0" fontId="0" fillId="0" borderId="65" xfId="0" applyBorder="1" applyAlignment="1">
      <alignment vertical="center"/>
    </xf>
    <xf numFmtId="0" fontId="0" fillId="0" borderId="8" xfId="0" quotePrefix="1" applyFill="1" applyBorder="1" applyAlignment="1">
      <alignment vertical="center"/>
    </xf>
    <xf numFmtId="0" fontId="0" fillId="0" borderId="53" xfId="0" applyFill="1" applyBorder="1" applyAlignment="1">
      <alignment vertical="center"/>
    </xf>
    <xf numFmtId="0" fontId="15" fillId="0" borderId="0" xfId="0" applyFont="1" applyFill="1" applyBorder="1" applyAlignment="1">
      <alignment horizontal="right" vertical="center"/>
    </xf>
    <xf numFmtId="0" fontId="0" fillId="0" borderId="51" xfId="0" applyFill="1" applyBorder="1" applyAlignment="1">
      <alignment vertical="center"/>
    </xf>
    <xf numFmtId="0" fontId="2" fillId="0" borderId="68" xfId="0" applyFont="1" applyFill="1" applyBorder="1" applyAlignment="1">
      <alignment vertical="center"/>
    </xf>
    <xf numFmtId="0" fontId="2" fillId="11" borderId="66" xfId="0" applyFont="1" applyFill="1" applyBorder="1" applyAlignment="1">
      <alignment vertical="center"/>
    </xf>
    <xf numFmtId="5" fontId="8" fillId="11" borderId="66" xfId="1" applyNumberFormat="1" applyFont="1" applyFill="1" applyBorder="1" applyAlignment="1">
      <alignment vertical="center"/>
    </xf>
    <xf numFmtId="0" fontId="0" fillId="11" borderId="66" xfId="0" applyFill="1" applyBorder="1" applyAlignment="1">
      <alignment vertical="center"/>
    </xf>
    <xf numFmtId="0" fontId="0" fillId="11" borderId="67" xfId="0" applyFill="1" applyBorder="1" applyAlignment="1">
      <alignment vertical="center"/>
    </xf>
    <xf numFmtId="5" fontId="8" fillId="11" borderId="61" xfId="1" applyNumberFormat="1" applyFont="1" applyFill="1" applyBorder="1" applyAlignment="1">
      <alignment vertical="center"/>
    </xf>
    <xf numFmtId="5" fontId="13" fillId="11" borderId="61" xfId="1" applyNumberFormat="1" applyFont="1" applyFill="1" applyBorder="1" applyAlignment="1">
      <alignment vertical="center"/>
    </xf>
    <xf numFmtId="0" fontId="2" fillId="11" borderId="71" xfId="0" applyFont="1" applyFill="1" applyBorder="1" applyAlignment="1">
      <alignment vertical="center"/>
    </xf>
    <xf numFmtId="0" fontId="0" fillId="11" borderId="64" xfId="0" applyFill="1" applyBorder="1" applyAlignment="1">
      <alignment vertical="center"/>
    </xf>
    <xf numFmtId="0" fontId="0" fillId="11" borderId="65" xfId="0" applyFill="1" applyBorder="1" applyAlignment="1">
      <alignment vertical="center"/>
    </xf>
    <xf numFmtId="0" fontId="0" fillId="0" borderId="72" xfId="0" applyBorder="1" applyAlignment="1">
      <alignment vertical="center"/>
    </xf>
    <xf numFmtId="0" fontId="2" fillId="11" borderId="73" xfId="0" applyFont="1" applyFill="1" applyBorder="1" applyAlignment="1">
      <alignment vertical="center"/>
    </xf>
    <xf numFmtId="0" fontId="15" fillId="0" borderId="0" xfId="0" applyFont="1" applyFill="1" applyBorder="1" applyAlignment="1">
      <alignment horizontal="center" vertical="center"/>
    </xf>
    <xf numFmtId="0" fontId="0" fillId="0" borderId="73" xfId="0" applyBorder="1" applyAlignment="1">
      <alignment vertical="center"/>
    </xf>
    <xf numFmtId="0" fontId="15" fillId="0" borderId="58" xfId="0" applyFont="1" applyFill="1" applyBorder="1" applyAlignment="1">
      <alignment horizontal="center" vertical="center"/>
    </xf>
    <xf numFmtId="0" fontId="0" fillId="0" borderId="76" xfId="0"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15" fillId="0" borderId="32" xfId="0" applyFont="1" applyFill="1" applyBorder="1" applyAlignment="1">
      <alignment horizontal="center" vertical="center"/>
    </xf>
    <xf numFmtId="0" fontId="0" fillId="0" borderId="77" xfId="0" applyBorder="1" applyAlignment="1">
      <alignment vertical="center"/>
    </xf>
    <xf numFmtId="0" fontId="0" fillId="0" borderId="78" xfId="0" applyBorder="1" applyAlignment="1">
      <alignment vertical="center"/>
    </xf>
    <xf numFmtId="0" fontId="0" fillId="0" borderId="33" xfId="0" applyBorder="1" applyAlignment="1">
      <alignment vertical="center"/>
    </xf>
    <xf numFmtId="0" fontId="15" fillId="0" borderId="33" xfId="0" applyFont="1" applyFill="1" applyBorder="1" applyAlignment="1">
      <alignment horizontal="center" vertical="center"/>
    </xf>
    <xf numFmtId="0" fontId="0" fillId="0" borderId="79" xfId="0" applyBorder="1" applyAlignment="1">
      <alignment vertical="center"/>
    </xf>
    <xf numFmtId="0" fontId="0" fillId="0" borderId="80" xfId="0" applyBorder="1" applyAlignment="1">
      <alignment vertical="center"/>
    </xf>
    <xf numFmtId="0" fontId="0" fillId="0" borderId="34" xfId="0" applyBorder="1" applyAlignment="1">
      <alignment vertical="center"/>
    </xf>
    <xf numFmtId="0" fontId="15" fillId="0" borderId="34" xfId="0" applyFont="1" applyFill="1" applyBorder="1" applyAlignment="1">
      <alignment horizontal="center" vertical="center"/>
    </xf>
    <xf numFmtId="0" fontId="0" fillId="0" borderId="81"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50" xfId="0" applyFill="1" applyBorder="1" applyAlignment="1">
      <alignment vertical="center"/>
    </xf>
    <xf numFmtId="0" fontId="2" fillId="0" borderId="0" xfId="0" applyFont="1" applyBorder="1" applyAlignment="1">
      <alignment horizontal="center" vertical="center" textRotation="90" wrapText="1"/>
    </xf>
    <xf numFmtId="0" fontId="2" fillId="0" borderId="69" xfId="0" applyFont="1" applyFill="1" applyBorder="1" applyAlignment="1">
      <alignment vertical="center"/>
    </xf>
    <xf numFmtId="5" fontId="8" fillId="0" borderId="6" xfId="1" applyNumberFormat="1" applyFont="1" applyFill="1" applyBorder="1" applyAlignment="1">
      <alignment vertical="center"/>
    </xf>
    <xf numFmtId="0" fontId="0" fillId="0" borderId="18" xfId="0" applyBorder="1" applyAlignment="1">
      <alignment vertical="center"/>
    </xf>
    <xf numFmtId="0" fontId="15" fillId="0" borderId="18" xfId="0" applyFont="1" applyBorder="1" applyAlignment="1">
      <alignment horizontal="right" vertical="center"/>
    </xf>
    <xf numFmtId="0" fontId="0" fillId="0" borderId="18" xfId="0" applyFill="1" applyBorder="1" applyAlignment="1">
      <alignment vertical="center"/>
    </xf>
    <xf numFmtId="0" fontId="0" fillId="0" borderId="83" xfId="0" applyBorder="1" applyAlignment="1">
      <alignment vertical="center"/>
    </xf>
    <xf numFmtId="0" fontId="2" fillId="0" borderId="84" xfId="0" applyFont="1" applyFill="1" applyBorder="1" applyAlignment="1">
      <alignment vertical="center"/>
    </xf>
    <xf numFmtId="0" fontId="2" fillId="0" borderId="85" xfId="0" applyFont="1" applyFill="1" applyBorder="1" applyAlignment="1">
      <alignment vertical="center"/>
    </xf>
    <xf numFmtId="5" fontId="8" fillId="0" borderId="85" xfId="1" applyNumberFormat="1" applyFont="1" applyFill="1" applyBorder="1" applyAlignment="1">
      <alignment vertical="center"/>
    </xf>
    <xf numFmtId="0" fontId="0" fillId="0" borderId="85" xfId="0" applyFill="1" applyBorder="1" applyAlignment="1">
      <alignment vertical="center"/>
    </xf>
    <xf numFmtId="0" fontId="0" fillId="0" borderId="86" xfId="0" applyFill="1" applyBorder="1" applyAlignment="1">
      <alignment vertical="center"/>
    </xf>
    <xf numFmtId="164" fontId="17" fillId="0" borderId="32" xfId="1" applyNumberFormat="1" applyFont="1" applyFill="1" applyBorder="1" applyAlignment="1">
      <alignment horizontal="center" vertical="center"/>
    </xf>
    <xf numFmtId="164" fontId="0" fillId="0" borderId="0" xfId="1" applyNumberFormat="1" applyFont="1" applyBorder="1" applyAlignment="1">
      <alignment vertical="center" wrapText="1"/>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87" xfId="0" applyFont="1" applyFill="1" applyBorder="1" applyAlignment="1">
      <alignment vertical="center"/>
    </xf>
    <xf numFmtId="0" fontId="23" fillId="11" borderId="88" xfId="0" applyFont="1" applyFill="1" applyBorder="1" applyAlignment="1">
      <alignment vertical="center"/>
    </xf>
    <xf numFmtId="0" fontId="23" fillId="11" borderId="89"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52" xfId="0" applyFont="1" applyBorder="1" applyAlignment="1">
      <alignment vertical="center"/>
    </xf>
    <xf numFmtId="0" fontId="23" fillId="0" borderId="90"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87" xfId="0" applyFont="1" applyFill="1" applyBorder="1" applyAlignment="1">
      <alignment vertical="center"/>
    </xf>
    <xf numFmtId="0" fontId="26" fillId="11" borderId="89" xfId="0" applyFont="1" applyFill="1" applyBorder="1" applyAlignment="1">
      <alignment horizontal="center" vertical="center" wrapText="1"/>
    </xf>
    <xf numFmtId="0" fontId="26" fillId="0" borderId="87" xfId="0" applyFont="1" applyFill="1" applyBorder="1" applyAlignment="1">
      <alignment vertical="center"/>
    </xf>
    <xf numFmtId="5" fontId="27" fillId="0" borderId="88" xfId="1" applyNumberFormat="1" applyFont="1" applyFill="1" applyBorder="1" applyAlignment="1">
      <alignment horizontal="center" vertical="center"/>
    </xf>
    <xf numFmtId="0" fontId="28" fillId="0" borderId="0" xfId="0" applyFont="1" applyBorder="1" applyAlignment="1">
      <alignment horizontal="center" vertical="center"/>
    </xf>
    <xf numFmtId="0" fontId="23" fillId="11" borderId="88"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5" fontId="28" fillId="0" borderId="21" xfId="1" applyNumberFormat="1" applyFont="1" applyBorder="1" applyAlignment="1">
      <alignment horizontal="center" vertical="center"/>
    </xf>
    <xf numFmtId="0" fontId="23" fillId="0" borderId="0" xfId="0" applyFont="1" applyAlignment="1">
      <alignment horizontal="center" vertical="center"/>
    </xf>
    <xf numFmtId="5" fontId="28" fillId="0" borderId="8" xfId="1" applyNumberFormat="1" applyFont="1" applyBorder="1" applyAlignment="1">
      <alignment horizontal="center" vertical="center"/>
    </xf>
    <xf numFmtId="0" fontId="28" fillId="0" borderId="18" xfId="0" applyFont="1" applyBorder="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12"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0" fillId="0" borderId="33" xfId="1" applyNumberFormat="1" applyFont="1" applyBorder="1" applyAlignment="1">
      <alignment horizontal="left" vertical="center" wrapText="1"/>
    </xf>
    <xf numFmtId="168" fontId="15" fillId="0" borderId="38" xfId="1" applyNumberFormat="1" applyFont="1" applyFill="1" applyBorder="1" applyAlignment="1">
      <alignment horizontal="center" vertical="center"/>
    </xf>
    <xf numFmtId="168" fontId="15" fillId="0" borderId="39" xfId="1" applyNumberFormat="1" applyFont="1" applyFill="1" applyBorder="1" applyAlignment="1">
      <alignment horizontal="center" vertical="center"/>
    </xf>
    <xf numFmtId="168" fontId="15" fillId="0" borderId="40" xfId="1" applyNumberFormat="1" applyFont="1" applyFill="1" applyBorder="1" applyAlignment="1">
      <alignment horizontal="center" vertical="center"/>
    </xf>
    <xf numFmtId="168" fontId="2" fillId="4" borderId="44" xfId="1" applyNumberFormat="1" applyFont="1" applyFill="1" applyBorder="1" applyAlignment="1">
      <alignment horizontal="center"/>
    </xf>
    <xf numFmtId="168" fontId="2" fillId="4" borderId="45" xfId="1" applyNumberFormat="1" applyFont="1" applyFill="1" applyBorder="1" applyAlignment="1">
      <alignment horizontal="center"/>
    </xf>
    <xf numFmtId="168" fontId="2" fillId="4" borderId="42"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15" fillId="0" borderId="41" xfId="1" applyNumberFormat="1" applyFont="1" applyFill="1" applyBorder="1" applyAlignment="1">
      <alignment horizontal="center" vertical="center" wrapText="1"/>
    </xf>
    <xf numFmtId="164" fontId="15" fillId="0" borderId="32" xfId="1" applyNumberFormat="1" applyFont="1" applyFill="1" applyBorder="1" applyAlignment="1">
      <alignment horizontal="center" vertical="center" wrapText="1"/>
    </xf>
    <xf numFmtId="164" fontId="15" fillId="0" borderId="42" xfId="1" applyNumberFormat="1" applyFont="1" applyFill="1" applyBorder="1" applyAlignment="1">
      <alignment horizontal="center" vertical="center" wrapText="1"/>
    </xf>
    <xf numFmtId="164" fontId="15" fillId="0" borderId="33" xfId="1" applyNumberFormat="1" applyFont="1" applyFill="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4" xfId="0" applyFont="1" applyBorder="1" applyAlignment="1">
      <alignment horizontal="center" vertical="center" textRotation="90" wrapText="1"/>
    </xf>
    <xf numFmtId="0" fontId="2" fillId="0" borderId="75" xfId="0" applyFont="1" applyBorder="1" applyAlignment="1">
      <alignment horizontal="center" vertical="center" textRotation="90" wrapText="1"/>
    </xf>
    <xf numFmtId="0" fontId="2" fillId="0" borderId="70"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11" borderId="60" xfId="0" applyFont="1" applyFill="1" applyBorder="1" applyAlignment="1">
      <alignment horizontal="center" vertical="center"/>
    </xf>
    <xf numFmtId="0" fontId="2" fillId="11" borderId="61" xfId="0" applyFont="1" applyFill="1" applyBorder="1" applyAlignment="1">
      <alignment horizontal="center" vertical="center"/>
    </xf>
    <xf numFmtId="0" fontId="2" fillId="0" borderId="47" xfId="0" applyFont="1" applyBorder="1" applyAlignment="1">
      <alignment horizontal="center" vertical="center" textRotation="90"/>
    </xf>
    <xf numFmtId="0" fontId="2" fillId="0" borderId="56" xfId="0" applyFont="1" applyBorder="1" applyAlignment="1">
      <alignment horizontal="center" vertical="center" textRotation="90"/>
    </xf>
    <xf numFmtId="0" fontId="2" fillId="0" borderId="48" xfId="0" applyFont="1" applyBorder="1" applyAlignment="1">
      <alignment horizontal="center" vertical="center" textRotation="90"/>
    </xf>
    <xf numFmtId="0" fontId="2" fillId="0" borderId="54" xfId="0" applyFont="1" applyBorder="1" applyAlignment="1">
      <alignment horizontal="center" vertical="center" textRotation="90" wrapText="1"/>
    </xf>
    <xf numFmtId="0" fontId="2" fillId="0" borderId="55" xfId="0" applyFont="1" applyBorder="1" applyAlignment="1">
      <alignment horizontal="center" vertical="center" textRotation="90" wrapText="1"/>
    </xf>
    <xf numFmtId="0" fontId="2" fillId="0" borderId="56" xfId="0" applyFont="1" applyBorder="1" applyAlignment="1">
      <alignment horizontal="center" vertical="center" textRotation="90" wrapText="1"/>
    </xf>
    <xf numFmtId="0" fontId="2" fillId="0" borderId="57" xfId="0" applyFont="1" applyBorder="1" applyAlignment="1">
      <alignment horizontal="center" vertical="center" textRotation="90" wrapText="1"/>
    </xf>
    <xf numFmtId="0" fontId="2" fillId="0" borderId="74" xfId="0" applyFont="1" applyBorder="1" applyAlignment="1">
      <alignment horizontal="center" vertical="center" textRotation="90"/>
    </xf>
    <xf numFmtId="0" fontId="2" fillId="0" borderId="75" xfId="0" applyFont="1" applyBorder="1" applyAlignment="1">
      <alignment horizontal="center" vertical="center" textRotation="90"/>
    </xf>
    <xf numFmtId="0" fontId="2" fillId="0" borderId="70" xfId="0" applyFont="1" applyBorder="1" applyAlignment="1">
      <alignment horizontal="center" vertical="center" textRotation="90"/>
    </xf>
    <xf numFmtId="0" fontId="2" fillId="0" borderId="82" xfId="0" applyFont="1" applyBorder="1" applyAlignment="1">
      <alignment horizontal="center" vertical="center" textRotation="90" wrapText="1"/>
    </xf>
    <xf numFmtId="0" fontId="0" fillId="11" borderId="61" xfId="0" applyFill="1" applyBorder="1" applyAlignment="1">
      <alignment horizontal="left" vertical="center" wrapText="1"/>
    </xf>
    <xf numFmtId="0" fontId="0" fillId="11" borderId="62" xfId="0" applyFill="1" applyBorder="1" applyAlignment="1">
      <alignment horizontal="left" vertical="center" wrapText="1"/>
    </xf>
    <xf numFmtId="0" fontId="22" fillId="0" borderId="0" xfId="0" applyFont="1" applyAlignment="1">
      <alignment horizontal="center" vertical="center"/>
    </xf>
    <xf numFmtId="0" fontId="5" fillId="0" borderId="0" xfId="0" applyFont="1" applyAlignment="1">
      <alignment horizontal="center" vertical="center" wrapText="1"/>
    </xf>
    <xf numFmtId="0" fontId="0" fillId="11" borderId="66" xfId="0" applyFill="1" applyBorder="1" applyAlignment="1">
      <alignment horizontal="left" vertical="center" wrapText="1"/>
    </xf>
    <xf numFmtId="0" fontId="0" fillId="11" borderId="67" xfId="0" applyFill="1" applyBorder="1" applyAlignment="1">
      <alignment horizontal="left" vertical="center" wrapText="1"/>
    </xf>
    <xf numFmtId="0" fontId="24" fillId="0" borderId="0" xfId="0" applyFont="1" applyAlignment="1">
      <alignment horizontal="center" vertical="center"/>
    </xf>
    <xf numFmtId="0" fontId="25" fillId="0" borderId="0" xfId="0" applyFont="1" applyAlignment="1">
      <alignment horizontal="center" vertical="center" wrapText="1"/>
    </xf>
    <xf numFmtId="0" fontId="23" fillId="0" borderId="88" xfId="0" applyFont="1" applyFill="1" applyBorder="1" applyAlignment="1">
      <alignment horizontal="left" vertical="center" wrapText="1"/>
    </xf>
    <xf numFmtId="0" fontId="23" fillId="0" borderId="89" xfId="0" applyFont="1" applyFill="1"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6" fillId="11" borderId="87" xfId="0" applyFont="1" applyFill="1" applyBorder="1" applyAlignment="1">
      <alignment horizontal="center" vertical="center"/>
    </xf>
    <xf numFmtId="0" fontId="26" fillId="11" borderId="89" xfId="0" applyFont="1" applyFill="1" applyBorder="1" applyAlignment="1">
      <alignment horizontal="center" vertical="center"/>
    </xf>
    <xf numFmtId="0" fontId="0" fillId="0" borderId="29" xfId="0"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FFFFCC"/>
      <color rgb="FFFF99FF"/>
      <color rgb="FFFFCC66"/>
      <color rgb="FFFFFF99"/>
      <color rgb="FFCCFFCC"/>
      <color rgb="FFCCCC00"/>
      <color rgb="FFF8F8F8"/>
      <color rgb="FF808000"/>
      <color rgb="FFB8CCE4"/>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1.xml"/><Relationship Id="rId7" Type="http://schemas.openxmlformats.org/officeDocument/2006/relationships/worksheet" Target="worksheets/sheet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barChart>
        <c:barDir val="col"/>
        <c:grouping val="clustered"/>
        <c:ser>
          <c:idx val="0"/>
          <c:order val="0"/>
          <c:tx>
            <c:v>Loving God</c:v>
          </c:tx>
          <c:cat>
            <c:strLit>
              <c:ptCount val="1"/>
              <c:pt idx="0">
                <c:v>Loving God</c:v>
              </c:pt>
            </c:strLit>
          </c:cat>
          <c:val>
            <c:numRef>
              <c:f>'New Year-Full Year'!$AC$180</c:f>
              <c:numCache>
                <c:formatCode>_("$"* #,##0_);_("$"* \(#,##0\);_("$"* "-"??_);_(@_)</c:formatCode>
                <c:ptCount val="1"/>
                <c:pt idx="0">
                  <c:v>164734.65720000005</c:v>
                </c:pt>
              </c:numCache>
            </c:numRef>
          </c:val>
        </c:ser>
        <c:ser>
          <c:idx val="1"/>
          <c:order val="1"/>
          <c:tx>
            <c:v>Changing Lives</c:v>
          </c:tx>
          <c:cat>
            <c:strLit>
              <c:ptCount val="1"/>
              <c:pt idx="0">
                <c:v>Loving God</c:v>
              </c:pt>
            </c:strLit>
          </c:cat>
          <c:val>
            <c:numRef>
              <c:f>'New Year-Full Year'!$AD$180</c:f>
              <c:numCache>
                <c:formatCode>_("$"* #,##0_);_("$"* \(#,##0\);_("$"* "-"??_);_(@_)</c:formatCode>
                <c:ptCount val="1"/>
                <c:pt idx="0">
                  <c:v>103945.78110000001</c:v>
                </c:pt>
              </c:numCache>
            </c:numRef>
          </c:val>
        </c:ser>
        <c:ser>
          <c:idx val="2"/>
          <c:order val="2"/>
          <c:tx>
            <c:v>Reaching Out</c:v>
          </c:tx>
          <c:cat>
            <c:strLit>
              <c:ptCount val="1"/>
              <c:pt idx="0">
                <c:v>Loving God</c:v>
              </c:pt>
            </c:strLit>
          </c:cat>
          <c:val>
            <c:numRef>
              <c:f>'New Year-Full Year'!$AE$180</c:f>
              <c:numCache>
                <c:formatCode>_("$"* #,##0_);_("$"* \(#,##0\);_("$"* "-"??_);_(@_)</c:formatCode>
                <c:ptCount val="1"/>
                <c:pt idx="0">
                  <c:v>128013.94220000002</c:v>
                </c:pt>
              </c:numCache>
            </c:numRef>
          </c:val>
        </c:ser>
        <c:ser>
          <c:idx val="3"/>
          <c:order val="3"/>
          <c:tx>
            <c:v>Building</c:v>
          </c:tx>
          <c:cat>
            <c:strLit>
              <c:ptCount val="1"/>
              <c:pt idx="0">
                <c:v>Loving God</c:v>
              </c:pt>
            </c:strLit>
          </c:cat>
          <c:val>
            <c:numRef>
              <c:f>'New Year-Full Year'!$AF$180</c:f>
              <c:numCache>
                <c:formatCode>_("$"* #,##0_);_("$"* \(#,##0\);_("$"* "-"??_);_(@_)</c:formatCode>
                <c:ptCount val="1"/>
                <c:pt idx="0">
                  <c:v>104240.94</c:v>
                </c:pt>
              </c:numCache>
            </c:numRef>
          </c:val>
        </c:ser>
        <c:gapWidth val="100"/>
        <c:axId val="124248448"/>
        <c:axId val="124249984"/>
      </c:barChart>
      <c:catAx>
        <c:axId val="124248448"/>
        <c:scaling>
          <c:orientation val="minMax"/>
        </c:scaling>
        <c:axPos val="b"/>
        <c:numFmt formatCode="General" sourceLinked="1"/>
        <c:tickLblPos val="nextTo"/>
        <c:crossAx val="124249984"/>
        <c:crosses val="autoZero"/>
        <c:auto val="1"/>
        <c:lblAlgn val="ctr"/>
        <c:lblOffset val="100"/>
      </c:catAx>
      <c:valAx>
        <c:axId val="124249984"/>
        <c:scaling>
          <c:orientation val="minMax"/>
        </c:scaling>
        <c:axPos val="l"/>
        <c:majorGridlines/>
        <c:numFmt formatCode="_(&quot;$&quot;* #,##0_);_(&quot;$&quot;* \(#,##0\);_(&quot;$&quot;* &quot;-&quot;??_);_(@_)" sourceLinked="1"/>
        <c:tickLblPos val="nextTo"/>
        <c:crossAx val="124248448"/>
        <c:crosses val="autoZero"/>
        <c:crossBetween val="between"/>
      </c:valAx>
      <c:dTable>
        <c:showHorzBorder val="1"/>
        <c:showVertBorder val="1"/>
        <c:showOutline val="1"/>
      </c:dTable>
    </c:plotArea>
    <c:legend>
      <c:legendPos val="r"/>
      <c:txPr>
        <a:bodyPr/>
        <a:lstStyle/>
        <a:p>
          <a:pPr rtl="0">
            <a:defRPr/>
          </a:pPr>
          <a:endParaRPr lang="en-US"/>
        </a:p>
      </c:txPr>
    </c:legend>
    <c:plotVisOnly val="1"/>
  </c:chart>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2018 Budget Expenses</a:t>
            </a:r>
          </a:p>
        </c:rich>
      </c:tx>
      <c:overlay val="1"/>
    </c:title>
    <c:plotArea>
      <c:layout>
        <c:manualLayout>
          <c:layoutTarget val="inner"/>
          <c:xMode val="edge"/>
          <c:yMode val="edge"/>
          <c:x val="5.8542030985622592E-2"/>
          <c:y val="0.16612377850162866"/>
          <c:w val="0.58823529411764697"/>
          <c:h val="0.79804560260586344"/>
        </c:manualLayout>
      </c:layout>
      <c:pieChart>
        <c:varyColors val="1"/>
        <c:ser>
          <c:idx val="0"/>
          <c:order val="0"/>
          <c:dLbls>
            <c:dLblPos val="ctr"/>
            <c:showVal val="1"/>
            <c:showLeaderLines val="1"/>
          </c:dLbls>
          <c:cat>
            <c:strRef>
              <c:f>'New Year-Full Year'!$AC$4:$AF$4</c:f>
              <c:strCache>
                <c:ptCount val="4"/>
                <c:pt idx="0">
                  <c:v>Love God</c:v>
                </c:pt>
                <c:pt idx="1">
                  <c:v>Changing Lives</c:v>
                </c:pt>
                <c:pt idx="2">
                  <c:v>Reaching Out</c:v>
                </c:pt>
                <c:pt idx="3">
                  <c:v>Building</c:v>
                </c:pt>
              </c:strCache>
            </c:strRef>
          </c:cat>
          <c:val>
            <c:numRef>
              <c:f>'New Year-Full Year'!$AC$180:$AF$180</c:f>
              <c:numCache>
                <c:formatCode>_("$"* #,##0_);_("$"* \(#,##0\);_("$"* "-"??_);_(@_)</c:formatCode>
                <c:ptCount val="4"/>
                <c:pt idx="0">
                  <c:v>164734.65720000005</c:v>
                </c:pt>
                <c:pt idx="1">
                  <c:v>103945.78110000001</c:v>
                </c:pt>
                <c:pt idx="2">
                  <c:v>128013.94220000002</c:v>
                </c:pt>
                <c:pt idx="3">
                  <c:v>104240.94</c:v>
                </c:pt>
              </c:numCache>
            </c:numRef>
          </c:val>
        </c:ser>
        <c:firstSliceAng val="0"/>
      </c:pieChart>
    </c:plotArea>
    <c:legend>
      <c:legendPos val="r"/>
    </c:legend>
    <c:plotVisOnly val="1"/>
  </c:chart>
  <c:printSettings>
    <c:headerFooter/>
    <c:pageMargins b="0.75000000000000011" l="0.70000000000000007" r="0.70000000000000007" t="0.75000000000000011" header="0.30000000000000004" footer="0.30000000000000004"/>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27</xdr:col>
      <xdr:colOff>539750</xdr:colOff>
      <xdr:row>182</xdr:row>
      <xdr:rowOff>6350</xdr:rowOff>
    </xdr:from>
    <xdr:to>
      <xdr:col>33</xdr:col>
      <xdr:colOff>82550</xdr:colOff>
      <xdr:row>203</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5" customWidth="1"/>
    <col min="2" max="16384" width="9.08984375" style="45"/>
  </cols>
  <sheetData>
    <row r="2" spans="1:3">
      <c r="A2" s="45" t="s">
        <v>186</v>
      </c>
      <c r="C2" s="46">
        <v>2019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L117"/>
  <sheetViews>
    <sheetView showGridLines="0" topLeftCell="B94" workbookViewId="0">
      <selection activeCell="I115" sqref="I115"/>
    </sheetView>
  </sheetViews>
  <sheetFormatPr defaultColWidth="9.08984375" defaultRowHeight="14.5"/>
  <cols>
    <col min="1" max="1" width="4.453125" style="47" hidden="1" customWidth="1"/>
    <col min="2" max="2" width="4.36328125" style="4" customWidth="1"/>
    <col min="3" max="3" width="9.08984375" style="1"/>
    <col min="4" max="4" width="27.90625" style="1" customWidth="1"/>
    <col min="5" max="6" width="12.08984375" style="1" customWidth="1"/>
    <col min="7" max="7" width="12.54296875" style="1" customWidth="1"/>
    <col min="8" max="8" width="2.54296875" style="1" customWidth="1"/>
    <col min="9" max="9" width="12.54296875" style="1" bestFit="1" customWidth="1"/>
    <col min="10" max="10" width="11.6328125" style="1" customWidth="1"/>
    <col min="11" max="11" width="10" style="42" bestFit="1" customWidth="1"/>
    <col min="12" max="16384" width="9.08984375" style="1"/>
  </cols>
  <sheetData>
    <row r="1" spans="1:11" ht="41.25" customHeight="1">
      <c r="B1" s="513" t="s">
        <v>91</v>
      </c>
      <c r="C1" s="513"/>
      <c r="D1" s="513"/>
      <c r="E1" s="513"/>
      <c r="F1" s="513"/>
      <c r="G1" s="513"/>
      <c r="H1" s="513"/>
      <c r="I1" s="513"/>
      <c r="J1" s="513"/>
      <c r="K1" s="513"/>
    </row>
    <row r="2" spans="1:11" ht="8.25" customHeight="1">
      <c r="B2" s="514"/>
      <c r="C2" s="514"/>
      <c r="D2" s="514"/>
      <c r="E2" s="514"/>
      <c r="F2" s="514"/>
      <c r="G2" s="514"/>
      <c r="H2" s="514"/>
      <c r="I2" s="514"/>
      <c r="J2" s="514"/>
      <c r="K2" s="514"/>
    </row>
    <row r="3" spans="1:11" ht="18" customHeight="1">
      <c r="E3" s="518" t="s">
        <v>90</v>
      </c>
      <c r="F3" s="519"/>
      <c r="G3" s="520"/>
      <c r="I3" s="515" t="str">
        <f>+'New Year-Full Year'!T2</f>
        <v>2018 Year to Date (YTD)</v>
      </c>
      <c r="J3" s="516"/>
      <c r="K3" s="517"/>
    </row>
    <row r="4" spans="1:11" s="4" customFormat="1" ht="44.25" customHeight="1">
      <c r="A4" s="48"/>
      <c r="E4" s="50" t="str">
        <f>+'New Year-Full Year'!O3</f>
        <v>2019 Budget</v>
      </c>
      <c r="F4" s="44" t="str">
        <f>+'New Year-Full Year'!P3</f>
        <v>2018 Budget</v>
      </c>
      <c r="G4" s="51" t="str">
        <f>+'New Year-Full Year'!R4</f>
        <v>%</v>
      </c>
      <c r="I4" s="2" t="str">
        <f>+'New Year-Full Year'!T3</f>
        <v>July YTD Actual</v>
      </c>
      <c r="J4" s="41" t="str">
        <f>+'New Year-Full Year'!U3</f>
        <v>July YTD Budget</v>
      </c>
      <c r="K4" s="3" t="s">
        <v>89</v>
      </c>
    </row>
    <row r="5" spans="1:11" s="4" customFormat="1" ht="18.5">
      <c r="A5" s="48"/>
      <c r="B5" s="9" t="s">
        <v>0</v>
      </c>
      <c r="E5" s="10"/>
      <c r="F5" s="43"/>
      <c r="G5" s="43"/>
      <c r="I5" s="43"/>
      <c r="J5" s="43"/>
      <c r="K5" s="43"/>
    </row>
    <row r="6" spans="1:11">
      <c r="A6" s="47">
        <v>1</v>
      </c>
      <c r="B6" s="4" t="s">
        <v>1</v>
      </c>
    </row>
    <row r="7" spans="1:11">
      <c r="A7" s="47">
        <v>2</v>
      </c>
      <c r="C7" s="1" t="str">
        <f>+'New Year-Full Year'!C7</f>
        <v>Envelope Giving</v>
      </c>
      <c r="E7" s="40">
        <f>+'New Year-Full Year'!O7</f>
        <v>490000</v>
      </c>
      <c r="F7" s="40">
        <f>+'New Year-Full Year'!P7</f>
        <v>500000</v>
      </c>
      <c r="G7" s="6">
        <f t="shared" ref="G7:G13" si="0">IF(F7=0,"NA",(+E7-F7)/F7)</f>
        <v>-0.02</v>
      </c>
      <c r="I7" s="40">
        <f>+'New Year-Full Year'!T7</f>
        <v>329240.89</v>
      </c>
      <c r="J7" s="40">
        <f>+'New Year-Full Year'!U7</f>
        <v>329432.40000000002</v>
      </c>
      <c r="K7" s="6">
        <f t="shared" ref="K7:K13" si="1">IF(J7=0,"NA",(+I7-J7)/J7)</f>
        <v>-5.8133322648291214E-4</v>
      </c>
    </row>
    <row r="8" spans="1:11">
      <c r="C8" s="1" t="str">
        <f>+'New Year-Full Year'!C8</f>
        <v>Advent Envelopes</v>
      </c>
      <c r="E8" s="40">
        <f>+'New Year-Full Year'!O8</f>
        <v>0</v>
      </c>
      <c r="F8" s="40">
        <f>+'New Year-Full Year'!P8</f>
        <v>0</v>
      </c>
      <c r="G8" s="6" t="str">
        <f>IF(F8=0,"NA",(+E8-F8)/F8)</f>
        <v>NA</v>
      </c>
      <c r="I8" s="40">
        <f>+'New Year-Full Year'!T8</f>
        <v>0</v>
      </c>
      <c r="J8" s="40">
        <f>+'New Year-Full Year'!U8</f>
        <v>0</v>
      </c>
      <c r="K8" s="6" t="str">
        <f>IF(J8=0,"NA",(+I8-J8)/J8)</f>
        <v>NA</v>
      </c>
    </row>
    <row r="9" spans="1:11">
      <c r="A9" s="47">
        <v>4</v>
      </c>
      <c r="C9" s="1" t="str">
        <f>+'New Year-Full Year'!C9</f>
        <v>Easter Offerings</v>
      </c>
      <c r="E9" s="40">
        <f>+'New Year-Full Year'!O9</f>
        <v>3500</v>
      </c>
      <c r="F9" s="40">
        <f>+'New Year-Full Year'!P9</f>
        <v>4000</v>
      </c>
      <c r="G9" s="6">
        <f t="shared" si="0"/>
        <v>-0.125</v>
      </c>
      <c r="I9" s="40">
        <f>+'New Year-Full Year'!T9</f>
        <v>3659</v>
      </c>
      <c r="J9" s="40">
        <f>+'New Year-Full Year'!U9</f>
        <v>3500</v>
      </c>
      <c r="K9" s="6">
        <f t="shared" si="1"/>
        <v>4.5428571428571429E-2</v>
      </c>
    </row>
    <row r="10" spans="1:11">
      <c r="A10" s="47">
        <v>5</v>
      </c>
      <c r="C10" s="1" t="str">
        <f>+'New Year-Full Year'!C10</f>
        <v>Thanksgiving Offerings</v>
      </c>
      <c r="E10" s="40">
        <f>+'New Year-Full Year'!O10</f>
        <v>1000</v>
      </c>
      <c r="F10" s="40">
        <f>+'New Year-Full Year'!P10</f>
        <v>1000</v>
      </c>
      <c r="G10" s="6">
        <f t="shared" si="0"/>
        <v>0</v>
      </c>
      <c r="I10" s="40">
        <f>+'New Year-Full Year'!T10</f>
        <v>0</v>
      </c>
      <c r="J10" s="40">
        <f>+'New Year-Full Year'!U10</f>
        <v>0</v>
      </c>
      <c r="K10" s="6" t="str">
        <f t="shared" si="1"/>
        <v>NA</v>
      </c>
    </row>
    <row r="11" spans="1:11">
      <c r="A11" s="47">
        <v>6</v>
      </c>
      <c r="C11" s="1" t="str">
        <f>+'New Year-Full Year'!C11</f>
        <v>Christmas Offerings</v>
      </c>
      <c r="E11" s="40">
        <f>+'New Year-Full Year'!O11</f>
        <v>5000</v>
      </c>
      <c r="F11" s="40">
        <f>+'New Year-Full Year'!P11</f>
        <v>5000</v>
      </c>
      <c r="G11" s="6">
        <f t="shared" si="0"/>
        <v>0</v>
      </c>
      <c r="I11" s="40">
        <f>+'New Year-Full Year'!T11</f>
        <v>0</v>
      </c>
      <c r="J11" s="40">
        <f>+'New Year-Full Year'!U11</f>
        <v>0</v>
      </c>
      <c r="K11" s="6" t="str">
        <f t="shared" si="1"/>
        <v>NA</v>
      </c>
    </row>
    <row r="12" spans="1:11">
      <c r="A12" s="47">
        <v>7</v>
      </c>
      <c r="C12" s="1" t="str">
        <f>+'New Year-Full Year'!C12</f>
        <v>Lenten Offerings</v>
      </c>
      <c r="E12" s="40">
        <f>+'New Year-Full Year'!O12</f>
        <v>2800</v>
      </c>
      <c r="F12" s="40">
        <f>+'New Year-Full Year'!P12</f>
        <v>3000</v>
      </c>
      <c r="G12" s="6">
        <f t="shared" si="0"/>
        <v>-6.6666666666666666E-2</v>
      </c>
      <c r="I12" s="40">
        <f>+'New Year-Full Year'!T12</f>
        <v>3148</v>
      </c>
      <c r="J12" s="40">
        <f>+'New Year-Full Year'!U12</f>
        <v>2800</v>
      </c>
      <c r="K12" s="6">
        <f t="shared" si="1"/>
        <v>0.12428571428571429</v>
      </c>
    </row>
    <row r="13" spans="1:11">
      <c r="A13" s="47">
        <v>8</v>
      </c>
      <c r="B13" s="12" t="s">
        <v>6</v>
      </c>
      <c r="C13" s="12"/>
      <c r="D13" s="12"/>
      <c r="E13" s="12">
        <f>SUM(E7:E12)</f>
        <v>502300</v>
      </c>
      <c r="F13" s="12">
        <f>SUM(F7:F12)</f>
        <v>513000</v>
      </c>
      <c r="G13" s="13">
        <f t="shared" si="0"/>
        <v>-2.0857699805068228E-2</v>
      </c>
      <c r="I13" s="12">
        <f>SUM(I7:I12)</f>
        <v>336047.89</v>
      </c>
      <c r="J13" s="12">
        <f>SUM(J7:J12)</f>
        <v>335732.4</v>
      </c>
      <c r="K13" s="13">
        <f t="shared" si="1"/>
        <v>9.3970674263190172E-4</v>
      </c>
    </row>
    <row r="14" spans="1:11" ht="5.25" customHeight="1">
      <c r="A14" s="47">
        <v>9</v>
      </c>
      <c r="G14" s="42"/>
    </row>
    <row r="15" spans="1:11">
      <c r="A15" s="47">
        <v>10</v>
      </c>
      <c r="B15" s="4" t="s">
        <v>7</v>
      </c>
      <c r="G15" s="42"/>
    </row>
    <row r="16" spans="1:11">
      <c r="A16" s="47">
        <v>11</v>
      </c>
      <c r="C16" s="1" t="str">
        <f>+'New Year-Full Year'!C16</f>
        <v>Loose Offerings</v>
      </c>
      <c r="E16" s="40">
        <f>+'New Year-Full Year'!O16</f>
        <v>11000</v>
      </c>
      <c r="F16" s="40">
        <f>+'New Year-Full Year'!P16</f>
        <v>8500</v>
      </c>
      <c r="G16" s="6">
        <f t="shared" ref="G16:G22" si="2">IF(F16=0,"NA",(+E16-F16)/F16)</f>
        <v>0.29411764705882354</v>
      </c>
      <c r="I16" s="40">
        <f>+'New Year-Full Year'!T16</f>
        <v>5208.58</v>
      </c>
      <c r="J16" s="40">
        <f>+'New Year-Full Year'!U16</f>
        <v>6416.69</v>
      </c>
      <c r="K16" s="6">
        <f t="shared" ref="K16:K22" si="3">IF(J16=0,"NA",(+I16-J16)/J16)</f>
        <v>-0.18827619847616134</v>
      </c>
    </row>
    <row r="17" spans="1:11">
      <c r="A17" s="47">
        <v>12</v>
      </c>
      <c r="C17" s="1" t="str">
        <f>+'New Year-Full Year'!C17</f>
        <v>Misc Income</v>
      </c>
      <c r="E17" s="40">
        <f>+'New Year-Full Year'!O17</f>
        <v>0</v>
      </c>
      <c r="F17" s="40">
        <f>+'New Year-Full Year'!P17</f>
        <v>0</v>
      </c>
      <c r="G17" s="6" t="str">
        <f t="shared" si="2"/>
        <v>NA</v>
      </c>
      <c r="I17" s="40">
        <f>+'New Year-Full Year'!T17</f>
        <v>4521.5</v>
      </c>
      <c r="J17" s="40">
        <f>+'New Year-Full Year'!U17</f>
        <v>0</v>
      </c>
      <c r="K17" s="6" t="str">
        <f t="shared" si="3"/>
        <v>NA</v>
      </c>
    </row>
    <row r="18" spans="1:11" hidden="1">
      <c r="A18" s="47">
        <v>13</v>
      </c>
      <c r="C18" s="1" t="str">
        <f>+'New Year-Full Year'!C18</f>
        <v>Special Appeal</v>
      </c>
      <c r="E18" s="40">
        <f>+'New Year-Full Year'!O18</f>
        <v>0</v>
      </c>
      <c r="F18" s="40">
        <f>+'New Year-Full Year'!P18</f>
        <v>0</v>
      </c>
      <c r="G18" s="6" t="str">
        <f t="shared" si="2"/>
        <v>NA</v>
      </c>
      <c r="I18" s="40">
        <f>+'New Year-Full Year'!T18</f>
        <v>0</v>
      </c>
      <c r="J18" s="40">
        <f>+'New Year-Full Year'!U18</f>
        <v>0</v>
      </c>
      <c r="K18" s="6" t="str">
        <f t="shared" si="3"/>
        <v>NA</v>
      </c>
    </row>
    <row r="19" spans="1:11">
      <c r="A19" s="47">
        <v>14</v>
      </c>
      <c r="C19" s="1" t="str">
        <f>+'New Year-Full Year'!C19</f>
        <v>Current Investment Income</v>
      </c>
      <c r="E19" s="40">
        <f>+'New Year-Full Year'!O19</f>
        <v>0</v>
      </c>
      <c r="F19" s="40">
        <f>+'New Year-Full Year'!P19</f>
        <v>0</v>
      </c>
      <c r="G19" s="6" t="str">
        <f t="shared" si="2"/>
        <v>NA</v>
      </c>
      <c r="I19" s="40">
        <f>+'New Year-Full Year'!T19</f>
        <v>1.87</v>
      </c>
      <c r="J19" s="40">
        <f>+'New Year-Full Year'!U19</f>
        <v>0</v>
      </c>
      <c r="K19" s="6" t="str">
        <f t="shared" si="3"/>
        <v>NA</v>
      </c>
    </row>
    <row r="20" spans="1:11">
      <c r="A20" s="47">
        <v>15</v>
      </c>
      <c r="C20" s="1" t="str">
        <f>+'New Year-Full Year'!C20</f>
        <v>Clearing Account</v>
      </c>
      <c r="E20" s="40">
        <f>+'New Year-Full Year'!O20</f>
        <v>0</v>
      </c>
      <c r="F20" s="40">
        <f>+'New Year-Full Year'!P20</f>
        <v>0</v>
      </c>
      <c r="G20" s="6" t="str">
        <f t="shared" si="2"/>
        <v>NA</v>
      </c>
      <c r="I20" s="40">
        <f>+'New Year-Full Year'!T20</f>
        <v>0</v>
      </c>
      <c r="J20" s="40">
        <f>+'New Year-Full Year'!U20</f>
        <v>0</v>
      </c>
      <c r="K20" s="6" t="str">
        <f t="shared" si="3"/>
        <v>NA</v>
      </c>
    </row>
    <row r="21" spans="1:11">
      <c r="A21" s="47">
        <v>16</v>
      </c>
      <c r="B21" s="12" t="s">
        <v>10</v>
      </c>
      <c r="C21" s="12"/>
      <c r="D21" s="12"/>
      <c r="E21" s="12">
        <f>SUM(E16:E20)</f>
        <v>11000</v>
      </c>
      <c r="F21" s="12">
        <f>SUM(F16:F20)</f>
        <v>8500</v>
      </c>
      <c r="G21" s="13">
        <f t="shared" si="2"/>
        <v>0.29411764705882354</v>
      </c>
      <c r="I21" s="12">
        <f>SUM(I16:I20)</f>
        <v>9731.9500000000007</v>
      </c>
      <c r="J21" s="12">
        <f>SUM(J16:J20)</f>
        <v>6416.69</v>
      </c>
      <c r="K21" s="13">
        <f t="shared" si="3"/>
        <v>0.51666201733292416</v>
      </c>
    </row>
    <row r="22" spans="1:11">
      <c r="A22" s="47">
        <v>17</v>
      </c>
      <c r="B22" s="12" t="s">
        <v>12</v>
      </c>
      <c r="C22" s="12"/>
      <c r="D22" s="12"/>
      <c r="E22" s="12">
        <f>+E13+E21</f>
        <v>513300</v>
      </c>
      <c r="F22" s="12">
        <f>+F13+F21</f>
        <v>521500</v>
      </c>
      <c r="G22" s="13">
        <f t="shared" si="2"/>
        <v>-1.5723873441994246E-2</v>
      </c>
      <c r="I22" s="12">
        <f>+I13+I21</f>
        <v>345779.84</v>
      </c>
      <c r="J22" s="12">
        <f>+J13+J21</f>
        <v>342149.09</v>
      </c>
      <c r="K22" s="13">
        <f t="shared" si="3"/>
        <v>1.061160209428001E-2</v>
      </c>
    </row>
    <row r="23" spans="1:11" ht="6" customHeight="1">
      <c r="A23" s="47">
        <v>18</v>
      </c>
      <c r="G23" s="42"/>
    </row>
    <row r="24" spans="1:11" ht="18.5">
      <c r="A24" s="47">
        <v>19</v>
      </c>
      <c r="B24" s="9" t="s">
        <v>13</v>
      </c>
      <c r="G24" s="42"/>
    </row>
    <row r="25" spans="1:11" s="4" customFormat="1">
      <c r="A25" s="47">
        <v>26</v>
      </c>
      <c r="B25" s="14"/>
      <c r="C25" s="15" t="s">
        <v>97</v>
      </c>
      <c r="D25" s="14"/>
      <c r="E25" s="14">
        <f>+'New Year-Full Year'!O30</f>
        <v>51330</v>
      </c>
      <c r="F25" s="14">
        <f>+'New Year-Full Year'!P30</f>
        <v>52150</v>
      </c>
      <c r="G25" s="16">
        <f>IF(F25=0,"NA",(+E25-F25)/F25)</f>
        <v>-1.5723873441994246E-2</v>
      </c>
      <c r="H25" s="1"/>
      <c r="I25" s="14">
        <f>+'New Year-Full Year'!T30</f>
        <v>28115.040000000001</v>
      </c>
      <c r="J25" s="14">
        <f>+'New Year-Full Year'!U30</f>
        <v>28615.07</v>
      </c>
      <c r="K25" s="16">
        <f>IF(J25=0,"NA",(+I25-J25)/J25)</f>
        <v>-1.7474358790665157E-2</v>
      </c>
    </row>
    <row r="26" spans="1:11" s="4" customFormat="1" ht="6.75" customHeight="1">
      <c r="A26" s="47">
        <v>27</v>
      </c>
      <c r="B26" s="17"/>
      <c r="C26" s="18"/>
      <c r="D26" s="17"/>
      <c r="E26" s="17"/>
      <c r="F26" s="19"/>
      <c r="G26" s="20"/>
      <c r="H26" s="1"/>
      <c r="I26" s="19"/>
      <c r="J26" s="19"/>
      <c r="K26" s="20"/>
    </row>
    <row r="27" spans="1:11" s="4" customFormat="1" ht="18.5">
      <c r="A27" s="47">
        <v>28</v>
      </c>
      <c r="B27" s="21" t="s">
        <v>66</v>
      </c>
      <c r="C27" s="18"/>
      <c r="D27" s="17"/>
      <c r="E27" s="17"/>
      <c r="F27" s="19"/>
      <c r="G27" s="20"/>
      <c r="H27" s="17"/>
      <c r="I27" s="19"/>
      <c r="J27" s="19"/>
      <c r="K27" s="20"/>
    </row>
    <row r="28" spans="1:11">
      <c r="A28" s="47">
        <v>29</v>
      </c>
      <c r="B28" s="4" t="s">
        <v>17</v>
      </c>
      <c r="G28" s="42"/>
    </row>
    <row r="29" spans="1:11">
      <c r="A29" s="47">
        <v>30</v>
      </c>
      <c r="C29" s="1" t="str">
        <f>+'New Year-Full Year'!C34</f>
        <v>Sunday School</v>
      </c>
      <c r="E29" s="40">
        <f>+'New Year-Full Year'!O34</f>
        <v>2000</v>
      </c>
      <c r="F29" s="40">
        <f>+'New Year-Full Year'!P34</f>
        <v>2000</v>
      </c>
      <c r="G29" s="6">
        <f t="shared" ref="G29:G36" si="4">IF(F29=0,"NA",(+E29-F29)/F29)</f>
        <v>0</v>
      </c>
      <c r="I29" s="40">
        <f>+'New Year-Full Year'!T34</f>
        <v>510.68</v>
      </c>
      <c r="J29" s="40">
        <f>+'New Year-Full Year'!U34</f>
        <v>1112</v>
      </c>
      <c r="K29" s="6">
        <f t="shared" ref="K29:K36" si="5">IF(J29=0,"NA",(+I29-J29)/J29)</f>
        <v>-0.54075539568345321</v>
      </c>
    </row>
    <row r="30" spans="1:11">
      <c r="A30" s="47">
        <v>31</v>
      </c>
      <c r="C30" s="1" t="str">
        <f>+'New Year-Full Year'!C35</f>
        <v>Confirmation</v>
      </c>
      <c r="E30" s="40">
        <f>+'New Year-Full Year'!O35</f>
        <v>1000</v>
      </c>
      <c r="F30" s="40">
        <f>+'New Year-Full Year'!P35</f>
        <v>1000</v>
      </c>
      <c r="G30" s="6">
        <f t="shared" si="4"/>
        <v>0</v>
      </c>
      <c r="I30" s="40">
        <f>+'New Year-Full Year'!T35</f>
        <v>87.48</v>
      </c>
      <c r="J30" s="40">
        <f>+'New Year-Full Year'!U35</f>
        <v>0</v>
      </c>
      <c r="K30" s="6" t="str">
        <f t="shared" si="5"/>
        <v>NA</v>
      </c>
    </row>
    <row r="31" spans="1:11">
      <c r="A31" s="47">
        <v>32</v>
      </c>
      <c r="C31" s="1" t="str">
        <f>+'New Year-Full Year'!C36</f>
        <v>Summer Bible School</v>
      </c>
      <c r="E31" s="40">
        <f>+'New Year-Full Year'!O36</f>
        <v>1000</v>
      </c>
      <c r="F31" s="40">
        <f>+'New Year-Full Year'!P36</f>
        <v>500</v>
      </c>
      <c r="G31" s="6">
        <f t="shared" si="4"/>
        <v>1</v>
      </c>
      <c r="I31" s="40">
        <f>+'New Year-Full Year'!T36</f>
        <v>0</v>
      </c>
      <c r="J31" s="40">
        <f>+'New Year-Full Year'!U36</f>
        <v>1000</v>
      </c>
      <c r="K31" s="6">
        <f t="shared" si="5"/>
        <v>-1</v>
      </c>
    </row>
    <row r="32" spans="1:11">
      <c r="A32" s="47">
        <v>33</v>
      </c>
      <c r="C32" s="1" t="str">
        <f>+'New Year-Full Year'!C37</f>
        <v>Library</v>
      </c>
      <c r="E32" s="40">
        <f>+'New Year-Full Year'!O37</f>
        <v>300</v>
      </c>
      <c r="F32" s="40">
        <f>+'New Year-Full Year'!P37</f>
        <v>200</v>
      </c>
      <c r="G32" s="6">
        <f t="shared" si="4"/>
        <v>0.5</v>
      </c>
      <c r="I32" s="40">
        <f>+'New Year-Full Year'!T37</f>
        <v>0</v>
      </c>
      <c r="J32" s="40">
        <f>+'New Year-Full Year'!U37</f>
        <v>175</v>
      </c>
      <c r="K32" s="6">
        <f t="shared" si="5"/>
        <v>-1</v>
      </c>
    </row>
    <row r="33" spans="1:11">
      <c r="A33" s="47">
        <v>34</v>
      </c>
      <c r="C33" s="1" t="str">
        <f>+'New Year-Full Year'!C38</f>
        <v>First Communion</v>
      </c>
      <c r="E33" s="40">
        <f>+'New Year-Full Year'!O38</f>
        <v>200</v>
      </c>
      <c r="F33" s="40">
        <f>+'New Year-Full Year'!P38</f>
        <v>200</v>
      </c>
      <c r="G33" s="6">
        <f t="shared" si="4"/>
        <v>0</v>
      </c>
      <c r="I33" s="40">
        <f>+'New Year-Full Year'!T38</f>
        <v>205.52</v>
      </c>
      <c r="J33" s="40">
        <f>+'New Year-Full Year'!U38</f>
        <v>200</v>
      </c>
      <c r="K33" s="6">
        <f t="shared" si="5"/>
        <v>2.7600000000000052E-2</v>
      </c>
    </row>
    <row r="34" spans="1:11">
      <c r="C34" s="1" t="str">
        <f>+'New Year-Full Year'!C39</f>
        <v>Adult Education</v>
      </c>
      <c r="E34" s="40">
        <f>+'New Year-Full Year'!O39</f>
        <v>750</v>
      </c>
      <c r="F34" s="40">
        <f>+'New Year-Full Year'!P39</f>
        <v>750</v>
      </c>
      <c r="G34" s="6">
        <f t="shared" si="4"/>
        <v>0</v>
      </c>
      <c r="I34" s="40">
        <f>+'New Year-Full Year'!T39</f>
        <v>250.5</v>
      </c>
      <c r="J34" s="40">
        <f>+'New Year-Full Year'!U39</f>
        <v>437.5</v>
      </c>
      <c r="K34" s="6">
        <f>IF(J34=0,"NA",(+I34-J34)/J34)</f>
        <v>-0.42742857142857144</v>
      </c>
    </row>
    <row r="35" spans="1:11">
      <c r="A35" s="47">
        <v>35</v>
      </c>
      <c r="C35" s="1" t="str">
        <f>+'New Year-Full Year'!C40</f>
        <v>Cradle Roll</v>
      </c>
      <c r="E35" s="40">
        <f>+'New Year-Full Year'!O40</f>
        <v>200</v>
      </c>
      <c r="F35" s="40">
        <f>+'New Year-Full Year'!P40</f>
        <v>200</v>
      </c>
      <c r="G35" s="6">
        <f t="shared" si="4"/>
        <v>0</v>
      </c>
      <c r="I35" s="40">
        <f>+'New Year-Full Year'!T40</f>
        <v>0</v>
      </c>
      <c r="J35" s="40">
        <f>+'New Year-Full Year'!U40</f>
        <v>116.69</v>
      </c>
      <c r="K35" s="6">
        <f t="shared" si="5"/>
        <v>-1</v>
      </c>
    </row>
    <row r="36" spans="1:11" s="4" customFormat="1">
      <c r="A36" s="47">
        <v>36</v>
      </c>
      <c r="B36" s="39" t="s">
        <v>21</v>
      </c>
      <c r="C36" s="39"/>
      <c r="D36" s="39"/>
      <c r="E36" s="39">
        <f>SUM(E29:E35)</f>
        <v>5450</v>
      </c>
      <c r="F36" s="39">
        <f>SUM(F29:F35)</f>
        <v>4850</v>
      </c>
      <c r="G36" s="23">
        <f t="shared" si="4"/>
        <v>0.12371134020618557</v>
      </c>
      <c r="I36" s="39">
        <f>SUM(I29:I35)</f>
        <v>1054.1799999999998</v>
      </c>
      <c r="J36" s="39">
        <f>SUM(J29:J35)</f>
        <v>3041.19</v>
      </c>
      <c r="K36" s="23">
        <f t="shared" si="5"/>
        <v>-0.65336595214373328</v>
      </c>
    </row>
    <row r="37" spans="1:11" ht="6" customHeight="1">
      <c r="A37" s="47">
        <v>37</v>
      </c>
      <c r="G37" s="42"/>
    </row>
    <row r="38" spans="1:11">
      <c r="A38" s="47">
        <v>40</v>
      </c>
      <c r="B38" s="4" t="s">
        <v>167</v>
      </c>
      <c r="G38" s="42"/>
    </row>
    <row r="39" spans="1:11">
      <c r="A39" s="47">
        <v>41</v>
      </c>
      <c r="C39" s="1" t="str">
        <f>+'New Year-Full Year'!C44</f>
        <v>Worship Supplies</v>
      </c>
      <c r="E39" s="40">
        <f>+'New Year-Full Year'!O44</f>
        <v>4000</v>
      </c>
      <c r="F39" s="40">
        <f>+'New Year-Full Year'!P44</f>
        <v>5000</v>
      </c>
      <c r="G39" s="6">
        <f>IF(F39=0,"NA",(+E39-F39)/F39)</f>
        <v>-0.2</v>
      </c>
      <c r="I39" s="40">
        <f>+'New Year-Full Year'!T44</f>
        <v>1859.22</v>
      </c>
      <c r="J39" s="40">
        <f>+'New Year-Full Year'!U44</f>
        <v>2333.31</v>
      </c>
      <c r="K39" s="6">
        <f>IF(J39=0,"NA",(+I39-J39)/J39)</f>
        <v>-0.20318346040603261</v>
      </c>
    </row>
    <row r="40" spans="1:11">
      <c r="A40" s="47">
        <v>43</v>
      </c>
      <c r="C40" s="1" t="str">
        <f>+'New Year-Full Year'!C46</f>
        <v>Children's Services</v>
      </c>
      <c r="E40" s="40">
        <f>+'New Year-Full Year'!O46</f>
        <v>100</v>
      </c>
      <c r="F40" s="40">
        <f>+'New Year-Full Year'!P46</f>
        <v>100</v>
      </c>
      <c r="G40" s="6">
        <f>IF(F40=0,"NA",(+E40-F40)/F40)</f>
        <v>0</v>
      </c>
      <c r="I40" s="40">
        <f>+'New Year-Full Year'!T46</f>
        <v>0</v>
      </c>
      <c r="J40" s="40">
        <f>+'New Year-Full Year'!U46</f>
        <v>58.31</v>
      </c>
      <c r="K40" s="6">
        <f>IF(J40=0,"NA",(+I40-J40)/J40)</f>
        <v>-1</v>
      </c>
    </row>
    <row r="41" spans="1:11">
      <c r="A41" s="47">
        <v>44</v>
      </c>
      <c r="C41" s="1" t="str">
        <f>+'New Year-Full Year'!C47</f>
        <v>Flowers</v>
      </c>
      <c r="E41" s="40">
        <f>+'New Year-Full Year'!O47</f>
        <v>200</v>
      </c>
      <c r="F41" s="40">
        <f>+'New Year-Full Year'!P47</f>
        <v>200</v>
      </c>
      <c r="G41" s="6">
        <f>IF(F41=0,"NA",(+E41-F41)/F41)</f>
        <v>0</v>
      </c>
      <c r="I41" s="40">
        <f>+'New Year-Full Year'!T47</f>
        <v>104.45</v>
      </c>
      <c r="J41" s="40">
        <f>+'New Year-Full Year'!U47</f>
        <v>116.69</v>
      </c>
      <c r="K41" s="6">
        <f>IF(J41=0,"NA",(+I41-J41)/J41)</f>
        <v>-0.1048933070528751</v>
      </c>
    </row>
    <row r="42" spans="1:11" s="4" customFormat="1">
      <c r="A42" s="47">
        <v>45</v>
      </c>
      <c r="B42" s="39" t="s">
        <v>168</v>
      </c>
      <c r="C42" s="39"/>
      <c r="D42" s="39"/>
      <c r="E42" s="39">
        <f>SUM(E39:E41)</f>
        <v>4300</v>
      </c>
      <c r="F42" s="39">
        <f>SUM(F39:F41)</f>
        <v>5300</v>
      </c>
      <c r="G42" s="23">
        <f>IF(F42=0,"NA",(+E42-F42)/F42)</f>
        <v>-0.18867924528301888</v>
      </c>
      <c r="I42" s="39">
        <f>SUM(I39:I41)</f>
        <v>1963.67</v>
      </c>
      <c r="J42" s="39">
        <f>SUM(J39:J41)</f>
        <v>2508.31</v>
      </c>
      <c r="K42" s="23">
        <f>IF(J42=0,"NA",(+I42-J42)/J42)</f>
        <v>-0.21713424576707022</v>
      </c>
    </row>
    <row r="43" spans="1:11" ht="6.75" customHeight="1">
      <c r="A43" s="47">
        <v>46</v>
      </c>
      <c r="G43" s="42"/>
    </row>
    <row r="44" spans="1:11" s="4" customFormat="1">
      <c r="A44" s="47">
        <v>51</v>
      </c>
      <c r="B44" s="39" t="s">
        <v>25</v>
      </c>
      <c r="C44" s="39"/>
      <c r="D44" s="39"/>
      <c r="E44" s="39">
        <f>+'New Year-Full Year'!O50</f>
        <v>12800</v>
      </c>
      <c r="F44" s="39">
        <f>+'New Year-Full Year'!P50</f>
        <v>12800</v>
      </c>
      <c r="G44" s="23">
        <f>IF(F44=0,"NA",(+E44-F44)/F44)</f>
        <v>0</v>
      </c>
      <c r="I44" s="39">
        <f>+'New Year-Full Year'!T50</f>
        <v>2121.65</v>
      </c>
      <c r="J44" s="39">
        <f>+'New Year-Full Year'!U50</f>
        <v>7466.69</v>
      </c>
      <c r="K44" s="23">
        <f>IF(J44=0,"NA",(+I44-J44)/J44)</f>
        <v>-0.71585133439315141</v>
      </c>
    </row>
    <row r="45" spans="1:11" ht="6.75" customHeight="1">
      <c r="A45" s="47">
        <v>52</v>
      </c>
      <c r="G45" s="42"/>
    </row>
    <row r="46" spans="1:11">
      <c r="A46" s="47">
        <v>53</v>
      </c>
      <c r="B46" s="4" t="s">
        <v>98</v>
      </c>
      <c r="G46" s="42"/>
    </row>
    <row r="47" spans="1:11">
      <c r="A47" s="47">
        <v>54</v>
      </c>
      <c r="C47" s="1" t="str">
        <f>+'New Year-Full Year'!C53</f>
        <v>Church Membership Activities</v>
      </c>
      <c r="E47" s="40">
        <f>+'New Year-Full Year'!O53</f>
        <v>400</v>
      </c>
      <c r="F47" s="40">
        <f>+'New Year-Full Year'!P53</f>
        <v>400</v>
      </c>
      <c r="G47" s="6">
        <f>IF(F47=0,"NA",(+E47-F47)/F47)</f>
        <v>0</v>
      </c>
      <c r="I47" s="40">
        <f>+'New Year-Full Year'!T53</f>
        <v>91.69</v>
      </c>
      <c r="J47" s="40">
        <f>+'New Year-Full Year'!U53</f>
        <v>233.31</v>
      </c>
      <c r="K47" s="6">
        <f>IF(J47=0,"NA",(+I47-J47)/J47)</f>
        <v>-0.60700355749860702</v>
      </c>
    </row>
    <row r="48" spans="1:11">
      <c r="A48" s="47">
        <v>55</v>
      </c>
      <c r="C48" s="1" t="str">
        <f>+'New Year-Full Year'!C54</f>
        <v>Sunday Coffee</v>
      </c>
      <c r="E48" s="40">
        <f>+'New Year-Full Year'!O54</f>
        <v>150</v>
      </c>
      <c r="F48" s="40">
        <f>+'New Year-Full Year'!P54</f>
        <v>150</v>
      </c>
      <c r="G48" s="6">
        <f>IF(F48=0,"NA",(+E48-F48)/F48)</f>
        <v>0</v>
      </c>
      <c r="I48" s="40">
        <f>+'New Year-Full Year'!T54</f>
        <v>188.57</v>
      </c>
      <c r="J48" s="40">
        <f>+'New Year-Full Year'!U54</f>
        <v>87.5</v>
      </c>
      <c r="K48" s="6">
        <f>IF(J48=0,"NA",(+I48-J48)/J48)</f>
        <v>1.1550857142857143</v>
      </c>
    </row>
    <row r="49" spans="1:11" s="4" customFormat="1">
      <c r="A49" s="47">
        <v>56</v>
      </c>
      <c r="B49" s="39" t="s">
        <v>94</v>
      </c>
      <c r="C49" s="39"/>
      <c r="D49" s="39"/>
      <c r="E49" s="39">
        <f>SUM(E47:E48)</f>
        <v>550</v>
      </c>
      <c r="F49" s="39">
        <f>SUM(F47:F48)</f>
        <v>550</v>
      </c>
      <c r="G49" s="23">
        <f>IF(F49=0,"NA",(+E49-F49)/F49)</f>
        <v>0</v>
      </c>
      <c r="I49" s="39">
        <f>SUM(I47:I48)</f>
        <v>280.26</v>
      </c>
      <c r="J49" s="39">
        <f>SUM(J47:J48)</f>
        <v>320.81</v>
      </c>
      <c r="K49" s="23">
        <f>IF(J49=0,"NA",(+I49-J49)/J49)</f>
        <v>-0.12639880302983078</v>
      </c>
    </row>
    <row r="50" spans="1:11" ht="5.25" customHeight="1">
      <c r="A50" s="47">
        <v>57</v>
      </c>
      <c r="G50" s="42"/>
    </row>
    <row r="51" spans="1:11">
      <c r="A51" s="47">
        <v>58</v>
      </c>
      <c r="B51" s="39" t="s">
        <v>26</v>
      </c>
      <c r="C51" s="24"/>
      <c r="D51" s="24"/>
      <c r="E51" s="49">
        <f>+'New Year-Full Year'!O57</f>
        <v>200</v>
      </c>
      <c r="F51" s="49">
        <f>+'New Year-Full Year'!P57</f>
        <v>200</v>
      </c>
      <c r="G51" s="23">
        <f>IF(F51=0,"NA",(+E51-F51)/F51)</f>
        <v>0</v>
      </c>
      <c r="I51" s="49">
        <f>+'New Year-Full Year'!T57</f>
        <v>0</v>
      </c>
      <c r="J51" s="49">
        <f>+'New Year-Full Year'!U57</f>
        <v>116.69</v>
      </c>
      <c r="K51" s="23">
        <f>IF(J51=0,"NA",(+I51-J51)/J51)</f>
        <v>-1</v>
      </c>
    </row>
    <row r="52" spans="1:11" ht="6" customHeight="1">
      <c r="A52" s="47">
        <v>59</v>
      </c>
      <c r="G52" s="42"/>
    </row>
    <row r="53" spans="1:11">
      <c r="A53" s="47">
        <v>60</v>
      </c>
      <c r="B53" s="4" t="s">
        <v>27</v>
      </c>
      <c r="G53" s="42"/>
    </row>
    <row r="54" spans="1:11">
      <c r="A54" s="47">
        <v>61</v>
      </c>
      <c r="C54" s="1" t="str">
        <f>+'New Year-Full Year'!C60</f>
        <v>Stewardship</v>
      </c>
      <c r="E54" s="40">
        <f>+'New Year-Full Year'!O60</f>
        <v>200</v>
      </c>
      <c r="F54" s="40">
        <f>+'New Year-Full Year'!P60</f>
        <v>200</v>
      </c>
      <c r="G54" s="6">
        <f t="shared" ref="G54:G61" si="6">IF(F54=0,"NA",(+E54-F54)/F54)</f>
        <v>0</v>
      </c>
      <c r="I54" s="40">
        <f>+'New Year-Full Year'!T60</f>
        <v>0</v>
      </c>
      <c r="J54" s="40">
        <f>+'New Year-Full Year'!U60</f>
        <v>0</v>
      </c>
      <c r="K54" s="6" t="str">
        <f t="shared" ref="K54:K61" si="7">IF(J54=0,"NA",(+I54-J54)/J54)</f>
        <v>NA</v>
      </c>
    </row>
    <row r="55" spans="1:11">
      <c r="A55" s="47">
        <v>62</v>
      </c>
      <c r="C55" s="1" t="str">
        <f>+'New Year-Full Year'!C61</f>
        <v>Envelopes, Giving</v>
      </c>
      <c r="E55" s="40">
        <f>+'New Year-Full Year'!O61</f>
        <v>800</v>
      </c>
      <c r="F55" s="40">
        <f>+'New Year-Full Year'!P61</f>
        <v>800</v>
      </c>
      <c r="G55" s="6">
        <f t="shared" si="6"/>
        <v>0</v>
      </c>
      <c r="I55" s="40">
        <f>+'New Year-Full Year'!T61</f>
        <v>0</v>
      </c>
      <c r="J55" s="40">
        <f>+'New Year-Full Year'!U61</f>
        <v>0</v>
      </c>
      <c r="K55" s="6" t="str">
        <f t="shared" si="7"/>
        <v>NA</v>
      </c>
    </row>
    <row r="56" spans="1:11">
      <c r="A56" s="47">
        <v>63</v>
      </c>
      <c r="C56" s="1" t="str">
        <f>+'New Year-Full Year'!C62</f>
        <v>Synod Assembly</v>
      </c>
      <c r="E56" s="40">
        <f>+'New Year-Full Year'!O62</f>
        <v>1000</v>
      </c>
      <c r="F56" s="40">
        <f>+'New Year-Full Year'!P62</f>
        <v>1500</v>
      </c>
      <c r="G56" s="6">
        <f t="shared" si="6"/>
        <v>-0.33333333333333331</v>
      </c>
      <c r="I56" s="40">
        <f>+'New Year-Full Year'!T62</f>
        <v>910</v>
      </c>
      <c r="J56" s="40">
        <f>+'New Year-Full Year'!U62</f>
        <v>1000</v>
      </c>
      <c r="K56" s="6">
        <f t="shared" si="7"/>
        <v>-0.09</v>
      </c>
    </row>
    <row r="57" spans="1:11">
      <c r="A57" s="47">
        <v>64</v>
      </c>
      <c r="C57" s="1" t="str">
        <f>+'New Year-Full Year'!C63</f>
        <v>Evangelism</v>
      </c>
      <c r="E57" s="40">
        <f>+'New Year-Full Year'!O63</f>
        <v>3000</v>
      </c>
      <c r="F57" s="40">
        <f>+'New Year-Full Year'!P63</f>
        <v>3000</v>
      </c>
      <c r="G57" s="6">
        <f t="shared" si="6"/>
        <v>0</v>
      </c>
      <c r="I57" s="40">
        <f>+'New Year-Full Year'!T63</f>
        <v>760.8</v>
      </c>
      <c r="J57" s="40">
        <f>+'New Year-Full Year'!U63</f>
        <v>1750</v>
      </c>
      <c r="K57" s="6">
        <f t="shared" si="7"/>
        <v>-0.5652571428571429</v>
      </c>
    </row>
    <row r="58" spans="1:11">
      <c r="C58" s="1" t="str">
        <f>+'New Year-Full Year'!C64</f>
        <v>Misc Expenses</v>
      </c>
      <c r="E58" s="40">
        <f>+'New Year-Full Year'!O64</f>
        <v>200</v>
      </c>
      <c r="F58" s="40">
        <f>+'New Year-Full Year'!P64</f>
        <v>200</v>
      </c>
      <c r="G58" s="6">
        <f>IF(F58=0,"NA",(+E58-F58)/F58)</f>
        <v>0</v>
      </c>
      <c r="I58" s="40">
        <f>+'New Year-Full Year'!T64</f>
        <v>0</v>
      </c>
      <c r="J58" s="40">
        <f>+'New Year-Full Year'!U64</f>
        <v>116.69</v>
      </c>
      <c r="K58" s="6">
        <f>IF(J58=0,"NA",(+I58-J58)/J58)</f>
        <v>-1</v>
      </c>
    </row>
    <row r="59" spans="1:11">
      <c r="C59" s="1" t="str">
        <f>+'New Year-Full Year'!C65</f>
        <v>Internship</v>
      </c>
      <c r="E59" s="40">
        <f>+'New Year-Full Year'!O65</f>
        <v>0</v>
      </c>
      <c r="F59" s="40">
        <f>+'New Year-Full Year'!P65</f>
        <v>0</v>
      </c>
      <c r="G59" s="6" t="str">
        <f>IF(F59=0,"NA",(+E59-F59)/F59)</f>
        <v>NA</v>
      </c>
      <c r="I59" s="40">
        <f>+'New Year-Full Year'!T65</f>
        <v>0</v>
      </c>
      <c r="J59" s="40">
        <f>+'New Year-Full Year'!U65</f>
        <v>0</v>
      </c>
      <c r="K59" s="6" t="str">
        <f>IF(J59=0,"NA",(+I59-J59)/J59)</f>
        <v>NA</v>
      </c>
    </row>
    <row r="60" spans="1:11">
      <c r="A60" s="47">
        <v>65</v>
      </c>
      <c r="C60" s="1" t="str">
        <f>+'New Year-Full Year'!C66</f>
        <v>Organ/Piano Maintenance</v>
      </c>
      <c r="E60" s="40">
        <f>+'New Year-Full Year'!O66</f>
        <v>1575</v>
      </c>
      <c r="F60" s="40">
        <f>+'New Year-Full Year'!P66</f>
        <v>1000</v>
      </c>
      <c r="G60" s="6">
        <f t="shared" si="6"/>
        <v>0.57499999999999996</v>
      </c>
      <c r="I60" s="40">
        <f>+'New Year-Full Year'!T66</f>
        <v>137.75</v>
      </c>
      <c r="J60" s="40">
        <f>+'New Year-Full Year'!U66</f>
        <v>918.75</v>
      </c>
      <c r="K60" s="6">
        <f t="shared" si="7"/>
        <v>-0.85006802721088437</v>
      </c>
    </row>
    <row r="61" spans="1:11" s="4" customFormat="1">
      <c r="A61" s="47">
        <v>66</v>
      </c>
      <c r="B61" s="39" t="s">
        <v>32</v>
      </c>
      <c r="C61" s="39"/>
      <c r="D61" s="39"/>
      <c r="E61" s="39">
        <f>SUM(E54:E60)</f>
        <v>6775</v>
      </c>
      <c r="F61" s="39">
        <f>SUM(F54:F60)</f>
        <v>6700</v>
      </c>
      <c r="G61" s="23">
        <f t="shared" si="6"/>
        <v>1.1194029850746268E-2</v>
      </c>
      <c r="I61" s="39">
        <f>SUM(I54:I60)</f>
        <v>1808.55</v>
      </c>
      <c r="J61" s="39">
        <f>SUM(J54:J60)</f>
        <v>3785.44</v>
      </c>
      <c r="K61" s="23">
        <f t="shared" si="7"/>
        <v>-0.52223519590853373</v>
      </c>
    </row>
    <row r="62" spans="1:11" ht="6" customHeight="1">
      <c r="A62" s="47">
        <v>67</v>
      </c>
      <c r="G62" s="42"/>
    </row>
    <row r="63" spans="1:11">
      <c r="A63" s="47">
        <v>68</v>
      </c>
      <c r="B63" s="4" t="s">
        <v>33</v>
      </c>
      <c r="G63" s="42"/>
    </row>
    <row r="64" spans="1:11">
      <c r="A64" s="47">
        <v>69</v>
      </c>
      <c r="C64" s="1" t="str">
        <f>+'New Year-Full Year'!C70</f>
        <v>Office Supplies</v>
      </c>
      <c r="E64" s="40">
        <f>+'New Year-Full Year'!O70</f>
        <v>3500</v>
      </c>
      <c r="F64" s="40">
        <f>+'New Year-Full Year'!P70</f>
        <v>3000</v>
      </c>
      <c r="G64" s="6">
        <f t="shared" ref="G64:G71" si="8">IF(F64=0,"NA",(+E64-F64)/F64)</f>
        <v>0.16666666666666666</v>
      </c>
      <c r="I64" s="40">
        <f>+'New Year-Full Year'!T70</f>
        <v>2056.08</v>
      </c>
      <c r="J64" s="40">
        <f>+'New Year-Full Year'!U70</f>
        <v>2041.69</v>
      </c>
      <c r="K64" s="6">
        <f t="shared" ref="K64:K71" si="9">IF(J64=0,"NA",(+I64-J64)/J64)</f>
        <v>7.0480827157893078E-3</v>
      </c>
    </row>
    <row r="65" spans="1:12">
      <c r="A65" s="47">
        <v>70</v>
      </c>
      <c r="C65" s="1" t="str">
        <f>+'New Year-Full Year'!C71</f>
        <v>Postage</v>
      </c>
      <c r="E65" s="40">
        <f>+'New Year-Full Year'!O71</f>
        <v>3250</v>
      </c>
      <c r="F65" s="40">
        <f>+'New Year-Full Year'!P71</f>
        <v>3250</v>
      </c>
      <c r="G65" s="6">
        <f t="shared" si="8"/>
        <v>0</v>
      </c>
      <c r="I65" s="40">
        <f>+'New Year-Full Year'!T71</f>
        <v>846.22</v>
      </c>
      <c r="J65" s="40">
        <f>+'New Year-Full Year'!U71</f>
        <v>1895.81</v>
      </c>
      <c r="K65" s="6">
        <f t="shared" si="9"/>
        <v>-0.55363670410009436</v>
      </c>
    </row>
    <row r="66" spans="1:12">
      <c r="A66" s="47">
        <v>73</v>
      </c>
      <c r="C66" s="1" t="str">
        <f>+'New Year-Full Year'!C72</f>
        <v>Office Equipment/Computer</v>
      </c>
      <c r="E66" s="40">
        <f>+'New Year-Full Year'!O72</f>
        <v>13000</v>
      </c>
      <c r="F66" s="40">
        <f>+'New Year-Full Year'!P72</f>
        <v>13000</v>
      </c>
      <c r="G66" s="6">
        <f t="shared" si="8"/>
        <v>0</v>
      </c>
      <c r="I66" s="40">
        <f>+'New Year-Full Year'!T72</f>
        <v>8878.5400000000009</v>
      </c>
      <c r="J66" s="40">
        <f>+'New Year-Full Year'!U72</f>
        <v>7583.31</v>
      </c>
      <c r="K66" s="6">
        <f t="shared" si="9"/>
        <v>0.17080008597828658</v>
      </c>
    </row>
    <row r="67" spans="1:12">
      <c r="A67" s="47">
        <v>74</v>
      </c>
      <c r="C67" s="1" t="str">
        <f>+'New Year-Full Year'!C73</f>
        <v>Kitchen Supplies</v>
      </c>
      <c r="E67" s="40">
        <f>+'New Year-Full Year'!O73</f>
        <v>1000</v>
      </c>
      <c r="F67" s="40">
        <f>+'New Year-Full Year'!P73</f>
        <v>700</v>
      </c>
      <c r="G67" s="6">
        <f t="shared" si="8"/>
        <v>0.42857142857142855</v>
      </c>
      <c r="I67" s="40">
        <f>+'New Year-Full Year'!T73</f>
        <v>895.7</v>
      </c>
      <c r="J67" s="40">
        <f>+'New Year-Full Year'!U73</f>
        <v>583.30999999999995</v>
      </c>
      <c r="K67" s="6">
        <f t="shared" si="9"/>
        <v>0.53554713617116134</v>
      </c>
    </row>
    <row r="68" spans="1:12">
      <c r="A68" s="47">
        <v>75</v>
      </c>
      <c r="C68" s="1" t="str">
        <f>+'New Year-Full Year'!C74</f>
        <v>Bank Fees</v>
      </c>
      <c r="E68" s="40">
        <f>+'New Year-Full Year'!O74</f>
        <v>1700</v>
      </c>
      <c r="F68" s="40">
        <f>+'New Year-Full Year'!P74</f>
        <v>1000</v>
      </c>
      <c r="G68" s="6">
        <f t="shared" si="8"/>
        <v>0.7</v>
      </c>
      <c r="I68" s="40">
        <f>+'New Year-Full Year'!T74</f>
        <v>1036.26</v>
      </c>
      <c r="J68" s="40">
        <f>+'New Year-Full Year'!U74</f>
        <v>991.69</v>
      </c>
      <c r="K68" s="6">
        <f t="shared" si="9"/>
        <v>4.4943480321471364E-2</v>
      </c>
    </row>
    <row r="69" spans="1:12">
      <c r="A69" s="47">
        <v>76</v>
      </c>
      <c r="C69" s="1" t="str">
        <f>+'New Year-Full Year'!C75</f>
        <v>Professional Fees</v>
      </c>
      <c r="E69" s="40">
        <f>+'New Year-Full Year'!O75</f>
        <v>0</v>
      </c>
      <c r="F69" s="40">
        <f>+'New Year-Full Year'!P75</f>
        <v>0</v>
      </c>
      <c r="G69" s="6" t="str">
        <f>IF(F69=0,"NA",(+E69-F69)/F69)</f>
        <v>NA</v>
      </c>
      <c r="I69" s="40">
        <f>+'New Year-Full Year'!T75</f>
        <v>537.5</v>
      </c>
      <c r="J69" s="40">
        <f>+'New Year-Full Year'!U75</f>
        <v>0</v>
      </c>
      <c r="K69" s="6" t="str">
        <f>IF(J69=0,"NA",(+I69-J69)/J69)</f>
        <v>NA</v>
      </c>
    </row>
    <row r="70" spans="1:12" s="4" customFormat="1">
      <c r="A70" s="47">
        <v>76</v>
      </c>
      <c r="B70" s="39" t="s">
        <v>40</v>
      </c>
      <c r="C70" s="39"/>
      <c r="D70" s="39"/>
      <c r="E70" s="39">
        <f>SUM(E64:E69)</f>
        <v>22450</v>
      </c>
      <c r="F70" s="39">
        <f>SUM(F64:F69)</f>
        <v>20950</v>
      </c>
      <c r="G70" s="23">
        <f t="shared" si="8"/>
        <v>7.1599045346062054E-2</v>
      </c>
      <c r="I70" s="39">
        <f>SUM(I64:I69)</f>
        <v>14250.300000000001</v>
      </c>
      <c r="J70" s="39">
        <f>SUM(J64:J69)</f>
        <v>13095.810000000001</v>
      </c>
      <c r="K70" s="23">
        <f t="shared" si="9"/>
        <v>8.8157204479906146E-2</v>
      </c>
    </row>
    <row r="71" spans="1:12">
      <c r="A71" s="47">
        <v>77</v>
      </c>
      <c r="B71" s="39" t="s">
        <v>93</v>
      </c>
      <c r="C71" s="25"/>
      <c r="D71" s="25"/>
      <c r="E71" s="39">
        <f>+E36+E42+E44+E51+E61+E70+E49</f>
        <v>52525</v>
      </c>
      <c r="F71" s="39">
        <f>+F36+F42+F44+F51+F61+F70+F49</f>
        <v>51350</v>
      </c>
      <c r="G71" s="23">
        <f t="shared" si="8"/>
        <v>2.2882181110029213E-2</v>
      </c>
      <c r="I71" s="39">
        <f>+I36+I42+I44+I51+I61+I70+I49</f>
        <v>21478.61</v>
      </c>
      <c r="J71" s="39">
        <f>+J36+J42+J44+J51+J61+J70+J49</f>
        <v>30334.940000000002</v>
      </c>
      <c r="K71" s="23">
        <f t="shared" si="9"/>
        <v>-0.29195145927435495</v>
      </c>
    </row>
    <row r="72" spans="1:12" ht="8.25" customHeight="1">
      <c r="A72" s="47">
        <v>78</v>
      </c>
      <c r="G72" s="42"/>
    </row>
    <row r="73" spans="1:12" ht="18.5">
      <c r="A73" s="47">
        <v>79</v>
      </c>
      <c r="B73" s="9" t="s">
        <v>39</v>
      </c>
      <c r="G73" s="42"/>
    </row>
    <row r="74" spans="1:12">
      <c r="A74" s="47">
        <v>81</v>
      </c>
      <c r="C74" s="512" t="s">
        <v>219</v>
      </c>
      <c r="D74" s="512"/>
      <c r="E74" s="40">
        <f>+'New Year-Full Year'!O$81+'New Year-Full Year'!O$94+'New Year-Full Year'!O$106+'New Year-Full Year'!O$109+'New Year-Full Year'!O$129+SUM('New Year-Full Year'!O$132:O$135)+SUM('New Year-Full Year'!O$140:O$142)+'New Year-Full Year'!O$145</f>
        <v>274319</v>
      </c>
      <c r="F74" s="40">
        <f>+'New Year-Full Year'!P$81+'New Year-Full Year'!P$94+'New Year-Full Year'!P$106+'New Year-Full Year'!P$109+'New Year-Full Year'!P$129+SUM('New Year-Full Year'!P$132:P$135)+SUM('New Year-Full Year'!P$140:P$142)+'New Year-Full Year'!P$145</f>
        <v>258280.91666666669</v>
      </c>
      <c r="G74" s="6">
        <f>IF(F74=0,"NA",(+E74-F74)/F74)</f>
        <v>6.2095502603592714E-2</v>
      </c>
      <c r="I74" s="40">
        <f>+'New Year-Full Year'!T$81+'New Year-Full Year'!T$94+'New Year-Full Year'!T$106+'New Year-Full Year'!T$109+'New Year-Full Year'!T$129+SUM('New Year-Full Year'!T$132:T$135)+SUM('New Year-Full Year'!T$140:T$142)+'New Year-Full Year'!T$145</f>
        <v>161207.86000000002</v>
      </c>
      <c r="J74" s="40">
        <f>+'New Year-Full Year'!U$81+'New Year-Full Year'!U$94+'New Year-Full Year'!U$106+'New Year-Full Year'!U$109+'New Year-Full Year'!U$129+SUM('New Year-Full Year'!U$132:U$135)+SUM('New Year-Full Year'!U$140:U$142)+'New Year-Full Year'!U$145</f>
        <v>160027.72</v>
      </c>
      <c r="K74" s="6">
        <f>IF(J74=0,"NA",(+I74-J74)/J74)</f>
        <v>7.3745973510090249E-3</v>
      </c>
    </row>
    <row r="75" spans="1:12">
      <c r="A75" s="47">
        <v>83</v>
      </c>
      <c r="C75" s="1" t="s">
        <v>106</v>
      </c>
      <c r="E75" s="40">
        <f>SUM('New Year-Full Year'!O83:O87)+'New Year-Full Year'!O90+'New Year-Full Year'!O95+SUM('New Year-Full Year'!O110:O112)+'New Year-Full Year'!O115+'New Year-Full Year'!O143+'New Year-Full Year'!O144</f>
        <v>43972.380499999999</v>
      </c>
      <c r="F75" s="40">
        <f>SUM('New Year-Full Year'!P83:P87)+'New Year-Full Year'!P90+'New Year-Full Year'!P95+SUM('New Year-Full Year'!P110:P112)+'New Year-Full Year'!P115+'New Year-Full Year'!P143+'New Year-Full Year'!P144</f>
        <v>52469.926743750009</v>
      </c>
      <c r="G75" s="6">
        <f>IF(F75=0,"NA",(+E75-F75)/F75)</f>
        <v>-0.16195079297994638</v>
      </c>
      <c r="I75" s="40">
        <f>SUM('New Year-Full Year'!T83:T87)+'New Year-Full Year'!T90+'New Year-Full Year'!T95+'New Year-Full Year'!T96+SUM('New Year-Full Year'!T110:T112)+'New Year-Full Year'!T115+'New Year-Full Year'!T143+'New Year-Full Year'!T144</f>
        <v>22926.49</v>
      </c>
      <c r="J75" s="40">
        <f>SUM('New Year-Full Year'!U83:U87)+'New Year-Full Year'!U90+'New Year-Full Year'!U95+'New Year-Full Year'!U96+SUM('New Year-Full Year'!U110:U112)+'New Year-Full Year'!U115+'New Year-Full Year'!U143+'New Year-Full Year'!U144</f>
        <v>26999.059999999998</v>
      </c>
      <c r="K75" s="6">
        <f>IF(J75=0,"NA",(+I75-J75)/J75)</f>
        <v>-0.15084117743358461</v>
      </c>
      <c r="L75" s="375"/>
    </row>
    <row r="76" spans="1:12">
      <c r="A76" s="47">
        <v>84</v>
      </c>
      <c r="C76" s="1" t="s">
        <v>311</v>
      </c>
      <c r="E76" s="40">
        <f>+'New Year-Full Year'!O82+'New Year-Full Year'!O88+'New Year-Full Year'!O89+SUM('New Year-Full Year'!O96:O99)+'New Year-Full Year'!O113+'New Year-Full Year'!O114+'New Year-Full Year'!O138+'New Year-Full Year'!O139</f>
        <v>8010</v>
      </c>
      <c r="F76" s="40">
        <f>+'New Year-Full Year'!P82+'New Year-Full Year'!P88+'New Year-Full Year'!P89+SUM('New Year-Full Year'!P96:P99)+'New Year-Full Year'!P113+'New Year-Full Year'!P114+'New Year-Full Year'!P138+'New Year-Full Year'!P139</f>
        <v>5050</v>
      </c>
      <c r="G76" s="6">
        <f>IF(F76=0,"NA",(+E76-F76)/F76)</f>
        <v>0.5861386138613861</v>
      </c>
      <c r="I76" s="40">
        <f>+'New Year-Full Year'!T82+'New Year-Full Year'!T88+'New Year-Full Year'!T89+SUM('New Year-Full Year'!T97:T99)+'New Year-Full Year'!T113+'New Year-Full Year'!T114+'New Year-Full Year'!T138+'New Year-Full Year'!T139</f>
        <v>3643.03</v>
      </c>
      <c r="J76" s="40">
        <f>+'New Year-Full Year'!U82+'New Year-Full Year'!U88+'New Year-Full Year'!U89+SUM('New Year-Full Year'!U97:U99)+'New Year-Full Year'!U113+'New Year-Full Year'!U114+'New Year-Full Year'!U138+'New Year-Full Year'!U139</f>
        <v>3717.5</v>
      </c>
      <c r="K76" s="6">
        <f>IF(J76=0,"NA",(+I76-J76)/J76)</f>
        <v>-2.0032279757901762E-2</v>
      </c>
    </row>
    <row r="77" spans="1:12" s="4" customFormat="1">
      <c r="A77" s="47">
        <v>86</v>
      </c>
      <c r="B77" s="26" t="s">
        <v>109</v>
      </c>
      <c r="C77" s="26"/>
      <c r="D77" s="26"/>
      <c r="E77" s="26">
        <f>SUM(E74:E76)</f>
        <v>326301.38049999997</v>
      </c>
      <c r="F77" s="26">
        <f>SUM(F74:F76)</f>
        <v>315800.84341041668</v>
      </c>
      <c r="G77" s="27">
        <f>IF(F77=0,"NA",(+E77-F77)/F77)</f>
        <v>3.3250503628125934E-2</v>
      </c>
      <c r="I77" s="26">
        <f>SUM(I74:I76)</f>
        <v>187777.38</v>
      </c>
      <c r="J77" s="26">
        <f>SUM(J74:J76)</f>
        <v>190744.28</v>
      </c>
      <c r="K77" s="27">
        <f>IF(J77=0,"NA",(+I77-J77)/J77)</f>
        <v>-1.5554332743293766E-2</v>
      </c>
      <c r="L77" s="376"/>
    </row>
    <row r="78" spans="1:12" ht="8.25" customHeight="1">
      <c r="A78" s="47">
        <v>129</v>
      </c>
      <c r="G78" s="42"/>
    </row>
    <row r="79" spans="1:12" ht="18.5">
      <c r="A79" s="47">
        <v>130</v>
      </c>
      <c r="B79" s="9" t="s">
        <v>64</v>
      </c>
      <c r="G79" s="42"/>
    </row>
    <row r="80" spans="1:12">
      <c r="A80" s="47">
        <v>131</v>
      </c>
      <c r="B80" s="4" t="s">
        <v>65</v>
      </c>
      <c r="G80" s="42"/>
    </row>
    <row r="81" spans="1:11">
      <c r="A81" s="47">
        <v>132</v>
      </c>
      <c r="C81" s="1" t="str">
        <f>+'New Year-Full Year'!C151</f>
        <v>Electric</v>
      </c>
      <c r="E81" s="40">
        <f>+'New Year-Full Year'!O151</f>
        <v>10500</v>
      </c>
      <c r="F81" s="40">
        <f>+'New Year-Full Year'!P151</f>
        <v>8400</v>
      </c>
      <c r="G81" s="6">
        <f t="shared" ref="G81:G88" si="10">IF(F81=0,"NA",(+E81-F81)/F81)</f>
        <v>0.25</v>
      </c>
      <c r="I81" s="40">
        <f>+'New Year-Full Year'!T151</f>
        <v>6658.38</v>
      </c>
      <c r="J81" s="40">
        <f>+'New Year-Full Year'!U151</f>
        <v>6125</v>
      </c>
      <c r="K81" s="6">
        <f t="shared" ref="K81:K88" si="11">IF(J81=0,"NA",(+I81-J81)/J81)</f>
        <v>8.7082448979591859E-2</v>
      </c>
    </row>
    <row r="82" spans="1:11">
      <c r="A82" s="47">
        <v>133</v>
      </c>
      <c r="C82" s="1" t="str">
        <f>+'New Year-Full Year'!C152</f>
        <v>Gas</v>
      </c>
      <c r="E82" s="40">
        <f>+'New Year-Full Year'!O152</f>
        <v>8160</v>
      </c>
      <c r="F82" s="40">
        <f>+'New Year-Full Year'!P152</f>
        <v>8000</v>
      </c>
      <c r="G82" s="6">
        <f t="shared" si="10"/>
        <v>0.02</v>
      </c>
      <c r="I82" s="40">
        <f>+'New Year-Full Year'!T152</f>
        <v>7105.19</v>
      </c>
      <c r="J82" s="40">
        <f>+'New Year-Full Year'!U152</f>
        <v>4760</v>
      </c>
      <c r="K82" s="6">
        <f t="shared" si="11"/>
        <v>0.49268697478991585</v>
      </c>
    </row>
    <row r="83" spans="1:11">
      <c r="A83" s="47">
        <v>134</v>
      </c>
      <c r="C83" s="1" t="str">
        <f>+'New Year-Full Year'!C153</f>
        <v>Telephone (and Internet)</v>
      </c>
      <c r="E83" s="40">
        <f>+'New Year-Full Year'!O153</f>
        <v>4500</v>
      </c>
      <c r="F83" s="40">
        <f>+'New Year-Full Year'!P153</f>
        <v>5000</v>
      </c>
      <c r="G83" s="6">
        <f t="shared" si="10"/>
        <v>-0.1</v>
      </c>
      <c r="I83" s="40">
        <f>+'New Year-Full Year'!T153</f>
        <v>2386.88</v>
      </c>
      <c r="J83" s="40">
        <f>+'New Year-Full Year'!U153</f>
        <v>2625</v>
      </c>
      <c r="K83" s="6">
        <f t="shared" si="11"/>
        <v>-9.0712380952380905E-2</v>
      </c>
    </row>
    <row r="84" spans="1:11">
      <c r="A84" s="47">
        <v>135</v>
      </c>
      <c r="C84" s="1" t="str">
        <f>+'New Year-Full Year'!C154</f>
        <v>Water</v>
      </c>
      <c r="E84" s="40">
        <f>+'New Year-Full Year'!O154</f>
        <v>816</v>
      </c>
      <c r="F84" s="40">
        <f>+'New Year-Full Year'!P154</f>
        <v>800</v>
      </c>
      <c r="G84" s="6">
        <f t="shared" si="10"/>
        <v>0.02</v>
      </c>
      <c r="I84" s="40">
        <f>+'New Year-Full Year'!T154</f>
        <v>742.63</v>
      </c>
      <c r="J84" s="40">
        <f>+'New Year-Full Year'!U154</f>
        <v>612</v>
      </c>
      <c r="K84" s="6">
        <f t="shared" si="11"/>
        <v>0.21344771241830066</v>
      </c>
    </row>
    <row r="85" spans="1:11">
      <c r="A85" s="47">
        <v>136</v>
      </c>
      <c r="C85" s="1" t="str">
        <f>+'New Year-Full Year'!C155</f>
        <v>Security</v>
      </c>
      <c r="E85" s="40">
        <f>+'New Year-Full Year'!O155</f>
        <v>300</v>
      </c>
      <c r="F85" s="40">
        <f>+'New Year-Full Year'!P155</f>
        <v>300</v>
      </c>
      <c r="G85" s="6">
        <f t="shared" si="10"/>
        <v>0</v>
      </c>
      <c r="I85" s="40">
        <f>+'New Year-Full Year'!T155</f>
        <v>263.39999999999998</v>
      </c>
      <c r="J85" s="40">
        <f>+'New Year-Full Year'!U155</f>
        <v>175</v>
      </c>
      <c r="K85" s="6">
        <f t="shared" si="11"/>
        <v>0.505142857142857</v>
      </c>
    </row>
    <row r="86" spans="1:11">
      <c r="A86" s="47">
        <v>137</v>
      </c>
      <c r="C86" s="1" t="str">
        <f>+'New Year-Full Year'!C156</f>
        <v>Cell Phone</v>
      </c>
      <c r="E86" s="40">
        <f>+'New Year-Full Year'!O156</f>
        <v>600</v>
      </c>
      <c r="F86" s="40">
        <f>+'New Year-Full Year'!P156</f>
        <v>2000</v>
      </c>
      <c r="G86" s="6">
        <f t="shared" si="10"/>
        <v>-0.7</v>
      </c>
      <c r="I86" s="40">
        <f>+'New Year-Full Year'!T156</f>
        <v>466.33</v>
      </c>
      <c r="J86" s="40">
        <f>+'New Year-Full Year'!U156</f>
        <v>350</v>
      </c>
      <c r="K86" s="6">
        <f t="shared" si="11"/>
        <v>0.33237142857142854</v>
      </c>
    </row>
    <row r="87" spans="1:11">
      <c r="A87" s="47">
        <v>138</v>
      </c>
      <c r="C87" s="1" t="str">
        <f>+'New Year-Full Year'!C157</f>
        <v>City Assessment</v>
      </c>
      <c r="E87" s="40">
        <f>+'New Year-Full Year'!O157</f>
        <v>4500</v>
      </c>
      <c r="F87" s="40">
        <f>+'New Year-Full Year'!P157</f>
        <v>4500</v>
      </c>
      <c r="G87" s="6">
        <f t="shared" si="10"/>
        <v>0</v>
      </c>
      <c r="I87" s="40">
        <f>+'New Year-Full Year'!T157</f>
        <v>3462.78</v>
      </c>
      <c r="J87" s="40">
        <f>+'New Year-Full Year'!U157</f>
        <v>3375</v>
      </c>
      <c r="K87" s="6">
        <f t="shared" si="11"/>
        <v>2.6008888888888949E-2</v>
      </c>
    </row>
    <row r="88" spans="1:11" s="4" customFormat="1">
      <c r="A88" s="47">
        <v>139</v>
      </c>
      <c r="B88" s="29" t="s">
        <v>73</v>
      </c>
      <c r="C88" s="29"/>
      <c r="D88" s="29"/>
      <c r="E88" s="29">
        <f>SUM(E81:E87)</f>
        <v>29376</v>
      </c>
      <c r="F88" s="29">
        <f>SUM(F81:F87)</f>
        <v>29000</v>
      </c>
      <c r="G88" s="30">
        <f t="shared" si="10"/>
        <v>1.296551724137931E-2</v>
      </c>
      <c r="I88" s="29">
        <f>SUM(I81:I87)</f>
        <v>21085.590000000004</v>
      </c>
      <c r="J88" s="29">
        <f>SUM(J81:J87)</f>
        <v>18022</v>
      </c>
      <c r="K88" s="30">
        <f t="shared" si="11"/>
        <v>0.16999167683941871</v>
      </c>
    </row>
    <row r="89" spans="1:11" s="4" customFormat="1" ht="6.75" customHeight="1">
      <c r="A89" s="47">
        <v>140</v>
      </c>
      <c r="B89" s="17"/>
      <c r="C89" s="17"/>
      <c r="D89" s="17"/>
      <c r="E89" s="17"/>
      <c r="F89" s="17"/>
      <c r="G89" s="20"/>
      <c r="I89" s="17"/>
      <c r="J89" s="17"/>
      <c r="K89" s="20"/>
    </row>
    <row r="90" spans="1:11">
      <c r="A90" s="47">
        <v>141</v>
      </c>
      <c r="B90" s="4" t="s">
        <v>74</v>
      </c>
      <c r="G90" s="42"/>
    </row>
    <row r="91" spans="1:11">
      <c r="A91" s="47">
        <v>142</v>
      </c>
      <c r="C91" s="1" t="str">
        <f>+'New Year-Full Year'!C161</f>
        <v>Insurance</v>
      </c>
      <c r="E91" s="40">
        <f>+'New Year-Full Year'!O161</f>
        <v>16899.940000000002</v>
      </c>
      <c r="F91" s="40">
        <f>+'New Year-Full Year'!P161</f>
        <v>14821</v>
      </c>
      <c r="G91" s="6">
        <f t="shared" ref="G91:G98" si="12">IF(F91=0,"NA",(+E91-F91)/F91)</f>
        <v>0.14026988732204321</v>
      </c>
      <c r="I91" s="40">
        <f>+'New Year-Full Year'!T161</f>
        <v>8603</v>
      </c>
      <c r="J91" s="40">
        <f>+'New Year-Full Year'!U161</f>
        <v>12675</v>
      </c>
      <c r="K91" s="6">
        <f t="shared" ref="K91:K98" si="13">IF(J91=0,"NA",(+I91-J91)/J91)</f>
        <v>-0.32126232741617355</v>
      </c>
    </row>
    <row r="92" spans="1:11">
      <c r="A92" s="47">
        <v>143</v>
      </c>
      <c r="C92" s="1" t="str">
        <f>+'New Year-Full Year'!C162</f>
        <v>Snow Removal</v>
      </c>
      <c r="E92" s="40">
        <f>+'New Year-Full Year'!O162</f>
        <v>4500</v>
      </c>
      <c r="F92" s="40">
        <f>+'New Year-Full Year'!P162</f>
        <v>4000</v>
      </c>
      <c r="G92" s="6">
        <f t="shared" si="12"/>
        <v>0.125</v>
      </c>
      <c r="I92" s="40">
        <f>+'New Year-Full Year'!T162</f>
        <v>5913.4</v>
      </c>
      <c r="J92" s="40">
        <f>+'New Year-Full Year'!U162</f>
        <v>3000</v>
      </c>
      <c r="K92" s="6">
        <f t="shared" si="13"/>
        <v>0.97113333333333318</v>
      </c>
    </row>
    <row r="93" spans="1:11">
      <c r="A93" s="47">
        <v>144</v>
      </c>
      <c r="C93" s="1" t="str">
        <f>+'New Year-Full Year'!C163</f>
        <v>Maint.  Supplies</v>
      </c>
      <c r="E93" s="40">
        <f>+'New Year-Full Year'!O163</f>
        <v>4000</v>
      </c>
      <c r="F93" s="40">
        <f>+'New Year-Full Year'!P163</f>
        <v>4000</v>
      </c>
      <c r="G93" s="6">
        <f t="shared" si="12"/>
        <v>0</v>
      </c>
      <c r="I93" s="40">
        <f>+'New Year-Full Year'!T163</f>
        <v>3591.34</v>
      </c>
      <c r="J93" s="40">
        <f>+'New Year-Full Year'!U163</f>
        <v>2333.31</v>
      </c>
      <c r="K93" s="6">
        <f t="shared" si="13"/>
        <v>0.53916110589677335</v>
      </c>
    </row>
    <row r="94" spans="1:11" ht="15" customHeight="1">
      <c r="A94" s="47">
        <v>145</v>
      </c>
      <c r="C94" s="1" t="str">
        <f>+'New Year-Full Year'!C164</f>
        <v>Maintenance Contracts</v>
      </c>
      <c r="D94" s="86"/>
      <c r="E94" s="40">
        <f>+'New Year-Full Year'!O164</f>
        <v>8000</v>
      </c>
      <c r="F94" s="40">
        <f>+'New Year-Full Year'!P164</f>
        <v>3500</v>
      </c>
      <c r="G94" s="6">
        <f t="shared" si="12"/>
        <v>1.2857142857142858</v>
      </c>
      <c r="I94" s="40">
        <f>+'New Year-Full Year'!T164</f>
        <v>3447.04</v>
      </c>
      <c r="J94" s="40">
        <f>+'New Year-Full Year'!U164</f>
        <v>4666.6899999999996</v>
      </c>
      <c r="K94" s="6">
        <f t="shared" si="13"/>
        <v>-0.26135226466724804</v>
      </c>
    </row>
    <row r="95" spans="1:11">
      <c r="A95" s="47">
        <v>146</v>
      </c>
      <c r="C95" s="1" t="str">
        <f>+'New Year-Full Year'!C165</f>
        <v>Building Repairs</v>
      </c>
      <c r="E95" s="40">
        <f>+'New Year-Full Year'!O165</f>
        <v>8000</v>
      </c>
      <c r="F95" s="40">
        <f>+'New Year-Full Year'!P165</f>
        <v>7500</v>
      </c>
      <c r="G95" s="6">
        <f t="shared" si="12"/>
        <v>6.6666666666666666E-2</v>
      </c>
      <c r="I95" s="40">
        <f>+'New Year-Full Year'!T165</f>
        <v>5014.46</v>
      </c>
      <c r="J95" s="40">
        <f>+'New Year-Full Year'!U165</f>
        <v>4666.6899999999996</v>
      </c>
      <c r="K95" s="6">
        <f t="shared" si="13"/>
        <v>7.4521770248291722E-2</v>
      </c>
    </row>
    <row r="96" spans="1:11">
      <c r="A96" s="47">
        <v>149</v>
      </c>
      <c r="C96" s="1" t="str">
        <f>+'New Year-Full Year'!C166</f>
        <v>Interest-Line of Credit</v>
      </c>
      <c r="E96" s="40">
        <f>+'New Year-Full Year'!O166</f>
        <v>0</v>
      </c>
      <c r="F96" s="40">
        <f>+'New Year-Full Year'!P166</f>
        <v>0</v>
      </c>
      <c r="G96" s="6" t="str">
        <f t="shared" si="12"/>
        <v>NA</v>
      </c>
      <c r="I96" s="40">
        <f>+'New Year-Full Year'!T166</f>
        <v>0</v>
      </c>
      <c r="J96" s="40">
        <f>+'New Year-Full Year'!U166</f>
        <v>0</v>
      </c>
      <c r="K96" s="6" t="str">
        <f t="shared" si="13"/>
        <v>NA</v>
      </c>
    </row>
    <row r="97" spans="1:11" s="4" customFormat="1">
      <c r="A97" s="47">
        <v>150</v>
      </c>
      <c r="B97" s="29" t="s">
        <v>79</v>
      </c>
      <c r="C97" s="29"/>
      <c r="D97" s="29"/>
      <c r="E97" s="29">
        <f>SUM(E91:E96)</f>
        <v>41399.94</v>
      </c>
      <c r="F97" s="29">
        <f>SUM(F91:F96)</f>
        <v>33821</v>
      </c>
      <c r="G97" s="30">
        <f t="shared" si="12"/>
        <v>0.22408976671298905</v>
      </c>
      <c r="I97" s="29">
        <f>SUM(I91:I96)</f>
        <v>26569.239999999998</v>
      </c>
      <c r="J97" s="29">
        <f>SUM(J91:J96)</f>
        <v>27341.69</v>
      </c>
      <c r="K97" s="30">
        <f t="shared" si="13"/>
        <v>-2.8251728404498799E-2</v>
      </c>
    </row>
    <row r="98" spans="1:11">
      <c r="A98" s="47">
        <v>151</v>
      </c>
      <c r="B98" s="29" t="s">
        <v>80</v>
      </c>
      <c r="C98" s="29"/>
      <c r="D98" s="29"/>
      <c r="E98" s="29">
        <f>+E88+E97</f>
        <v>70775.94</v>
      </c>
      <c r="F98" s="29">
        <f>+F88+F97</f>
        <v>62821</v>
      </c>
      <c r="G98" s="30">
        <f t="shared" si="12"/>
        <v>0.1266286751245603</v>
      </c>
      <c r="I98" s="29">
        <f>+I88+I97</f>
        <v>47654.83</v>
      </c>
      <c r="J98" s="29">
        <f>+J88+J97</f>
        <v>45363.69</v>
      </c>
      <c r="K98" s="30">
        <f t="shared" si="13"/>
        <v>5.0506032467817305E-2</v>
      </c>
    </row>
    <row r="99" spans="1:11" ht="4.5" customHeight="1">
      <c r="A99" s="47">
        <v>152</v>
      </c>
      <c r="G99" s="42"/>
    </row>
    <row r="100" spans="1:11" ht="18.5">
      <c r="A100" s="47">
        <v>153</v>
      </c>
      <c r="B100" s="9" t="s">
        <v>81</v>
      </c>
      <c r="G100" s="42"/>
    </row>
    <row r="101" spans="1:11">
      <c r="A101" s="47">
        <v>154</v>
      </c>
      <c r="B101" s="4" t="s">
        <v>82</v>
      </c>
      <c r="G101" s="42"/>
    </row>
    <row r="102" spans="1:11">
      <c r="A102" s="47">
        <v>155</v>
      </c>
      <c r="C102" s="1" t="str">
        <f>'New Year-Full Year'!C172</f>
        <v>Operating Fund Reserve</v>
      </c>
      <c r="E102" s="40">
        <f>SUM('New Year-Full Year'!O172:O172)</f>
        <v>0</v>
      </c>
      <c r="F102" s="40">
        <f>SUM('New Year-Full Year'!P172:P172)</f>
        <v>0</v>
      </c>
      <c r="G102" s="6" t="str">
        <f t="shared" ref="G102:G108" si="14">IF(F102=0,"NA",(+E102-F102)/F102)</f>
        <v>NA</v>
      </c>
      <c r="I102" s="40">
        <f>SUM('New Year-Full Year'!T172:T172)</f>
        <v>0</v>
      </c>
      <c r="J102" s="40">
        <f>SUM('New Year-Full Year'!U172:U172)</f>
        <v>0</v>
      </c>
      <c r="K102" s="6" t="str">
        <f t="shared" ref="K102:K108" si="15">IF(J102=0,"NA",(+I102-J102)/J102)</f>
        <v>NA</v>
      </c>
    </row>
    <row r="103" spans="1:11">
      <c r="C103" s="1" t="str">
        <f>'New Year-Full Year'!C173</f>
        <v>Pastor Transition</v>
      </c>
      <c r="E103" s="40">
        <f>SUM('New Year-Full Year'!O173:O173)</f>
        <v>0</v>
      </c>
      <c r="F103" s="40">
        <f>SUM('New Year-Full Year'!P173:P173)</f>
        <v>0</v>
      </c>
      <c r="G103" s="6" t="str">
        <f>IF(F103=0,"NA",(+E103-F103)/F103)</f>
        <v>NA</v>
      </c>
      <c r="I103" s="40">
        <f>SUM('New Year-Full Year'!T173:T173)</f>
        <v>0</v>
      </c>
      <c r="J103" s="40">
        <f>SUM('New Year-Full Year'!U173:U173)</f>
        <v>0</v>
      </c>
      <c r="K103" s="6" t="str">
        <f>IF(J103=0,"NA",(+I103-J103)/J103)</f>
        <v>NA</v>
      </c>
    </row>
    <row r="104" spans="1:11">
      <c r="A104" s="47">
        <v>156</v>
      </c>
      <c r="C104" s="1" t="str">
        <f>'New Year-Full Year'!C174</f>
        <v>Facilities Fund Reserve</v>
      </c>
      <c r="E104" s="40">
        <f>+'New Year-Full Year'!O174</f>
        <v>12000</v>
      </c>
      <c r="F104" s="40">
        <f>+'New Year-Full Year'!P174</f>
        <v>24378</v>
      </c>
      <c r="G104" s="6">
        <f t="shared" si="14"/>
        <v>-0.50775289195175977</v>
      </c>
      <c r="I104" s="40">
        <f>+'New Year-Full Year'!T174</f>
        <v>0</v>
      </c>
      <c r="J104" s="40">
        <f>+'New Year-Full Year'!U174</f>
        <v>7000</v>
      </c>
      <c r="K104" s="6">
        <f t="shared" si="15"/>
        <v>-1</v>
      </c>
    </row>
    <row r="105" spans="1:11">
      <c r="A105" s="47">
        <v>157</v>
      </c>
      <c r="C105" s="1" t="str">
        <f>'New Year-Full Year'!C175</f>
        <v>Facilities Maintenance</v>
      </c>
      <c r="E105" s="40">
        <f>+'New Year-Full Year'!O175</f>
        <v>521</v>
      </c>
      <c r="F105" s="40">
        <f>+'New Year-Full Year'!P175</f>
        <v>5000</v>
      </c>
      <c r="G105" s="6">
        <f t="shared" si="14"/>
        <v>-0.89580000000000004</v>
      </c>
      <c r="I105" s="40">
        <f>+'New Year-Full Year'!T175</f>
        <v>0</v>
      </c>
      <c r="J105" s="40">
        <f>+'New Year-Full Year'!U175</f>
        <v>303.94</v>
      </c>
      <c r="K105" s="6">
        <f t="shared" si="15"/>
        <v>-1</v>
      </c>
    </row>
    <row r="106" spans="1:11">
      <c r="C106" s="1" t="s">
        <v>216</v>
      </c>
      <c r="E106" s="40">
        <f>+'New Year-Full Year'!O176</f>
        <v>0</v>
      </c>
      <c r="F106" s="40">
        <f>+'New Year-Full Year'!P176</f>
        <v>10000</v>
      </c>
      <c r="G106" s="6">
        <f t="shared" si="14"/>
        <v>-1</v>
      </c>
      <c r="I106" s="40">
        <f>+'New Year-Full Year'!T176</f>
        <v>0</v>
      </c>
      <c r="J106" s="40">
        <f>+'New Year-Full Year'!U176</f>
        <v>0</v>
      </c>
      <c r="K106" s="6" t="str">
        <f t="shared" si="15"/>
        <v>NA</v>
      </c>
    </row>
    <row r="107" spans="1:11" hidden="1">
      <c r="A107" s="47">
        <v>158</v>
      </c>
      <c r="C107" s="1" t="str">
        <f>'New Year-Full Year'!C177</f>
        <v>Line of Credit Payment</v>
      </c>
      <c r="E107" s="40">
        <f>+'New Year-Full Year'!O177</f>
        <v>0</v>
      </c>
      <c r="F107" s="40">
        <f>+'New Year-Full Year'!P177</f>
        <v>0</v>
      </c>
      <c r="G107" s="6" t="str">
        <f t="shared" si="14"/>
        <v>NA</v>
      </c>
      <c r="I107" s="40">
        <f>+'New Year-Full Year'!T177</f>
        <v>0</v>
      </c>
      <c r="J107" s="40">
        <f>+'New Year-Full Year'!U177</f>
        <v>0</v>
      </c>
      <c r="K107" s="6" t="str">
        <f t="shared" si="15"/>
        <v>NA</v>
      </c>
    </row>
    <row r="108" spans="1:11" s="4" customFormat="1">
      <c r="A108" s="47">
        <v>159</v>
      </c>
      <c r="B108" s="31" t="s">
        <v>85</v>
      </c>
      <c r="C108" s="31"/>
      <c r="D108" s="31"/>
      <c r="E108" s="31">
        <f>SUM(E102:E107)</f>
        <v>12521</v>
      </c>
      <c r="F108" s="31">
        <f>SUM(F102:F107)</f>
        <v>39378</v>
      </c>
      <c r="G108" s="32">
        <f t="shared" si="14"/>
        <v>-0.68203057544821977</v>
      </c>
      <c r="I108" s="31">
        <f>SUM(I102:I107)</f>
        <v>0</v>
      </c>
      <c r="J108" s="31">
        <f>SUM(J102:J107)</f>
        <v>7303.94</v>
      </c>
      <c r="K108" s="32">
        <f t="shared" si="15"/>
        <v>-1</v>
      </c>
    </row>
    <row r="109" spans="1:11" ht="7.5" customHeight="1">
      <c r="A109" s="47">
        <v>160</v>
      </c>
      <c r="G109" s="42"/>
    </row>
    <row r="110" spans="1:11">
      <c r="A110" s="47">
        <v>161</v>
      </c>
      <c r="B110" s="33" t="s">
        <v>86</v>
      </c>
      <c r="C110" s="34"/>
      <c r="D110" s="34"/>
      <c r="E110" s="33">
        <f>+E71+E98+E108+E25+E77</f>
        <v>513453.32049999997</v>
      </c>
      <c r="F110" s="33">
        <f>+F71+F98+F108+F25+F77</f>
        <v>521499.84341041668</v>
      </c>
      <c r="G110" s="35">
        <f>IF(F110=0,"NA",(+E110-F110)/F110)</f>
        <v>-1.5429578766113171E-2</v>
      </c>
      <c r="I110" s="33">
        <f>+I71+I98+I108+I25+I77</f>
        <v>285025.86</v>
      </c>
      <c r="J110" s="33">
        <f>+J71+J98+J108+J25+J77</f>
        <v>302361.92000000004</v>
      </c>
      <c r="K110" s="35">
        <f>IF(J110=0,"NA",(+I110-J110)/J110)</f>
        <v>-5.7335460761725729E-2</v>
      </c>
    </row>
    <row r="111" spans="1:11">
      <c r="A111" s="47">
        <v>162</v>
      </c>
      <c r="B111" s="33" t="s">
        <v>87</v>
      </c>
      <c r="C111" s="34"/>
      <c r="D111" s="34"/>
      <c r="E111" s="33">
        <f>ROUND(+E22-E110,0)</f>
        <v>-153</v>
      </c>
      <c r="F111" s="33">
        <f>ROUND(+F22-F110,0)</f>
        <v>0</v>
      </c>
      <c r="G111" s="35" t="str">
        <f>IF(F111=0,"NA",(+E111-F111)/F111)</f>
        <v>NA</v>
      </c>
      <c r="I111" s="33">
        <f>ROUND(+I22-I110,0)</f>
        <v>60754</v>
      </c>
      <c r="J111" s="33">
        <f>ROUND(+J22-J110,0)</f>
        <v>39787</v>
      </c>
      <c r="K111" s="35">
        <f>IF(J111=0,"NA",(+I111-J111)/J111)</f>
        <v>0.52698117475557338</v>
      </c>
    </row>
    <row r="112" spans="1:11" ht="7.25" customHeight="1" thickBot="1">
      <c r="G112" s="42"/>
    </row>
    <row r="113" spans="1:11">
      <c r="B113" s="115" t="s">
        <v>193</v>
      </c>
      <c r="C113" s="116"/>
      <c r="D113" s="116"/>
      <c r="E113" s="132">
        <f>+E22-E20</f>
        <v>513300</v>
      </c>
      <c r="F113" s="132">
        <f>+F22-F20</f>
        <v>521500</v>
      </c>
      <c r="G113" s="120">
        <f>IF(F113=0,"NA",(+E113-F113)/F113)</f>
        <v>-1.5723873441994246E-2</v>
      </c>
      <c r="H113" s="117"/>
      <c r="I113" s="132">
        <f>+I22-I20</f>
        <v>345779.84</v>
      </c>
      <c r="J113" s="132">
        <f>+J22-J20</f>
        <v>342149.09</v>
      </c>
      <c r="K113" s="121">
        <f>IF(J113=0,"NA",(+I113-J113)/J113)</f>
        <v>1.061160209428001E-2</v>
      </c>
    </row>
    <row r="114" spans="1:11">
      <c r="B114" s="122" t="s">
        <v>175</v>
      </c>
      <c r="C114" s="110"/>
      <c r="D114" s="110"/>
      <c r="E114" s="133">
        <f>+E110-E108</f>
        <v>500932.32049999997</v>
      </c>
      <c r="F114" s="133">
        <f>+F110-F108</f>
        <v>482121.84341041668</v>
      </c>
      <c r="G114" s="114">
        <f>IF(F114=0,"NA",(+E114-F114)/F114)</f>
        <v>3.9016023328298913E-2</v>
      </c>
      <c r="H114" s="111"/>
      <c r="I114" s="133">
        <f>+I110-I108</f>
        <v>285025.86</v>
      </c>
      <c r="J114" s="133">
        <f>+J110-J108</f>
        <v>295057.98000000004</v>
      </c>
      <c r="K114" s="123">
        <f>IF(J114=0,"NA",(+I114-J114)/J114)</f>
        <v>-3.4000503900962285E-2</v>
      </c>
    </row>
    <row r="115" spans="1:11" ht="15" thickBot="1">
      <c r="B115" s="124" t="s">
        <v>194</v>
      </c>
      <c r="C115" s="125"/>
      <c r="D115" s="125"/>
      <c r="E115" s="134">
        <f>+E113-E114</f>
        <v>12367.679500000027</v>
      </c>
      <c r="F115" s="134">
        <f>+F113-F114</f>
        <v>39378.156589583319</v>
      </c>
      <c r="G115" s="130">
        <f>IF(F115=0,"NA",(+E115-F115)/F115)</f>
        <v>-0.68592538170586581</v>
      </c>
      <c r="H115" s="127"/>
      <c r="I115" s="134">
        <f>+I113-I114</f>
        <v>60753.98000000004</v>
      </c>
      <c r="J115" s="134">
        <f>+J113-J114</f>
        <v>47091.109999999986</v>
      </c>
      <c r="K115" s="131">
        <f>IF(J115=0,"NA",(+I115-J115)/J115)</f>
        <v>0.29013692818028836</v>
      </c>
    </row>
    <row r="116" spans="1:11" ht="5" customHeight="1">
      <c r="G116" s="42"/>
    </row>
    <row r="117" spans="1:11">
      <c r="A117" s="1"/>
      <c r="B117" s="1"/>
      <c r="C117" s="512" t="s">
        <v>220</v>
      </c>
      <c r="D117" s="512"/>
      <c r="E117" s="512"/>
      <c r="F117" s="512"/>
      <c r="G117" s="512"/>
      <c r="H117" s="512"/>
      <c r="I117" s="512"/>
      <c r="J117" s="512"/>
      <c r="K117" s="512"/>
    </row>
  </sheetData>
  <mergeCells count="6">
    <mergeCell ref="C117:K117"/>
    <mergeCell ref="B1:K1"/>
    <mergeCell ref="B2:K2"/>
    <mergeCell ref="I3:K3"/>
    <mergeCell ref="E3:G3"/>
    <mergeCell ref="C74:D74"/>
  </mergeCells>
  <pageMargins left="0" right="0" top="0" bottom="0.75" header="0.3" footer="0.05"/>
  <pageSetup scale="90" fitToHeight="0" orientation="portrait" r:id="rId1"/>
  <headerFooter>
    <oddFooter>&amp;C&amp;P of &amp;N&amp;R&amp;D</oddFooter>
  </headerFooter>
  <rowBreaks count="2" manualBreakCount="2">
    <brk id="52" max="16383" man="1"/>
    <brk id="8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sheetPr>
    <pageSetUpPr fitToPage="1"/>
  </sheetPr>
  <dimension ref="A1:AJ233"/>
  <sheetViews>
    <sheetView showGridLines="0" topLeftCell="B3" workbookViewId="0">
      <pane xSplit="13" ySplit="2" topLeftCell="O156" activePane="bottomRight" state="frozen"/>
      <selection activeCell="I112" sqref="I112"/>
      <selection pane="topRight" activeCell="I112" sqref="I112"/>
      <selection pane="bottomLeft" activeCell="I112" sqref="I112"/>
      <selection pane="bottomRight" activeCell="T164" sqref="T164"/>
    </sheetView>
  </sheetViews>
  <sheetFormatPr defaultColWidth="9.08984375" defaultRowHeight="14.5" outlineLevelCol="1"/>
  <cols>
    <col min="1" max="1" width="4.453125" style="47" hidden="1" customWidth="1"/>
    <col min="2" max="2" width="4.36328125" style="4" customWidth="1"/>
    <col min="3" max="3" width="9.08984375" style="1"/>
    <col min="4" max="4" width="21.1796875" style="57" customWidth="1"/>
    <col min="5" max="5" width="11.54296875" style="89" hidden="1" customWidth="1" outlineLevel="1"/>
    <col min="6" max="6" width="11.36328125" style="42" hidden="1" customWidth="1" outlineLevel="1"/>
    <col min="7" max="7" width="8.6328125" style="42" hidden="1" customWidth="1" outlineLevel="1"/>
    <col min="8" max="8" width="10" style="42" hidden="1" customWidth="1" outlineLevel="1"/>
    <col min="9" max="9" width="10.6328125" style="42" hidden="1" customWidth="1" outlineLevel="1"/>
    <col min="10" max="10" width="8.08984375" style="42" hidden="1" customWidth="1" outlineLevel="1"/>
    <col min="11" max="11" width="10.36328125" style="42" hidden="1" customWidth="1" outlineLevel="1"/>
    <col min="12" max="12" width="7.08984375" style="42" hidden="1" customWidth="1" outlineLevel="1"/>
    <col min="13" max="13" width="8.36328125" style="42" hidden="1" customWidth="1" outlineLevel="1"/>
    <col min="14" max="14" width="9.6328125" style="1" hidden="1" customWidth="1" outlineLevel="1"/>
    <col min="15" max="15" width="11.08984375" style="1" customWidth="1" collapsed="1"/>
    <col min="16" max="16" width="11.08984375" style="1" customWidth="1"/>
    <col min="17" max="17" width="10.54296875" style="1" customWidth="1"/>
    <col min="18" max="18" width="9.36328125" style="1" customWidth="1"/>
    <col min="19" max="19" width="2.6328125" style="1" customWidth="1"/>
    <col min="20" max="20" width="10.90625" style="1" customWidth="1"/>
    <col min="21" max="21" width="10.453125" style="1" customWidth="1"/>
    <col min="22" max="22" width="9" style="7" customWidth="1"/>
    <col min="23" max="23" width="76.6328125" style="62" customWidth="1"/>
    <col min="24" max="24" width="58.6328125" style="38" hidden="1" customWidth="1"/>
    <col min="25" max="25" width="9.54296875" style="1" bestFit="1" customWidth="1"/>
    <col min="26" max="28" width="9.08984375" style="1"/>
    <col min="29" max="36" width="14.6328125" style="1" customWidth="1"/>
    <col min="37" max="16384" width="9.08984375" style="1"/>
  </cols>
  <sheetData>
    <row r="1" spans="1:36" ht="41.25" customHeight="1">
      <c r="B1" s="513" t="s">
        <v>91</v>
      </c>
      <c r="C1" s="513"/>
      <c r="D1" s="513"/>
      <c r="E1" s="513"/>
      <c r="F1" s="513"/>
      <c r="G1" s="513"/>
      <c r="H1" s="513"/>
      <c r="I1" s="513"/>
      <c r="J1" s="513"/>
      <c r="K1" s="513"/>
      <c r="L1" s="513"/>
      <c r="M1" s="513"/>
      <c r="N1" s="513"/>
      <c r="O1" s="513"/>
      <c r="P1" s="513"/>
      <c r="Q1" s="513"/>
      <c r="R1" s="513"/>
      <c r="S1" s="513"/>
      <c r="T1" s="513"/>
      <c r="U1" s="513"/>
      <c r="V1" s="513"/>
      <c r="W1" s="513"/>
      <c r="X1" s="1"/>
    </row>
    <row r="2" spans="1:36" ht="23.25" customHeight="1">
      <c r="O2" s="518" t="s">
        <v>90</v>
      </c>
      <c r="P2" s="519"/>
      <c r="Q2" s="519"/>
      <c r="R2" s="520"/>
      <c r="T2" s="525" t="str">
        <f>Bud_Yr-1&amp;" Year to Date (YTD)"</f>
        <v>2018 Year to Date (YTD)</v>
      </c>
      <c r="U2" s="526"/>
      <c r="V2" s="527"/>
    </row>
    <row r="3" spans="1:36" ht="27.65" customHeight="1">
      <c r="O3" s="536" t="str">
        <f>Bud_Yr&amp;" Budget"</f>
        <v>2019 Budget</v>
      </c>
      <c r="P3" s="537" t="str">
        <f>Bud_Yr-1&amp;" Budget"</f>
        <v>2018 Budget</v>
      </c>
      <c r="Q3" s="528" t="str">
        <f>Bud_Yr&amp;" Budget vs             "&amp;Bud_Yr-1&amp;" Budget"</f>
        <v>2019 Budget vs             2018 Budget</v>
      </c>
      <c r="R3" s="529"/>
      <c r="S3" s="57"/>
      <c r="T3" s="530" t="s">
        <v>422</v>
      </c>
      <c r="U3" s="532" t="s">
        <v>423</v>
      </c>
      <c r="V3" s="534" t="s">
        <v>89</v>
      </c>
      <c r="AC3" s="521" t="str">
        <f>Bud_Yr&amp;" Budget"</f>
        <v>2019 Budget</v>
      </c>
      <c r="AD3" s="522"/>
      <c r="AE3" s="522"/>
      <c r="AF3" s="523"/>
      <c r="AG3" s="521" t="str">
        <f>+T3</f>
        <v>July YTD Actual</v>
      </c>
      <c r="AH3" s="522"/>
      <c r="AI3" s="522"/>
      <c r="AJ3" s="523"/>
    </row>
    <row r="4" spans="1:36" s="4" customFormat="1">
      <c r="A4" s="48"/>
      <c r="D4" s="17"/>
      <c r="E4" s="90"/>
      <c r="F4" s="91"/>
      <c r="G4" s="91"/>
      <c r="H4" s="91"/>
      <c r="I4" s="91"/>
      <c r="J4" s="91"/>
      <c r="K4" s="91"/>
      <c r="L4" s="91"/>
      <c r="M4" s="91"/>
      <c r="O4" s="521"/>
      <c r="P4" s="522"/>
      <c r="Q4" s="56" t="s">
        <v>119</v>
      </c>
      <c r="R4" s="58" t="s">
        <v>120</v>
      </c>
      <c r="T4" s="531"/>
      <c r="U4" s="533"/>
      <c r="V4" s="535"/>
      <c r="W4" s="63" t="str">
        <f>Bud_Yr&amp;" Budget Notes"</f>
        <v>2019 Budget Notes</v>
      </c>
      <c r="X4" s="8" t="s">
        <v>121</v>
      </c>
      <c r="AC4" s="508" t="s">
        <v>426</v>
      </c>
      <c r="AD4" s="509" t="s">
        <v>427</v>
      </c>
      <c r="AE4" s="509" t="s">
        <v>428</v>
      </c>
      <c r="AF4" s="509" t="s">
        <v>429</v>
      </c>
      <c r="AG4" s="508" t="s">
        <v>426</v>
      </c>
      <c r="AH4" s="509" t="s">
        <v>427</v>
      </c>
      <c r="AI4" s="509" t="s">
        <v>428</v>
      </c>
      <c r="AJ4" s="509" t="s">
        <v>429</v>
      </c>
    </row>
    <row r="5" spans="1:36" s="4" customFormat="1" ht="18.5">
      <c r="A5" s="48"/>
      <c r="B5" s="9" t="s">
        <v>0</v>
      </c>
      <c r="D5" s="17"/>
      <c r="E5" s="90"/>
      <c r="F5" s="91"/>
      <c r="G5" s="91"/>
      <c r="H5" s="91"/>
      <c r="I5" s="91"/>
      <c r="J5" s="91"/>
      <c r="K5" s="91"/>
      <c r="L5" s="91"/>
      <c r="M5" s="91"/>
      <c r="O5" s="10"/>
      <c r="P5" s="11"/>
      <c r="Q5" s="43"/>
      <c r="R5" s="11"/>
      <c r="T5" s="11"/>
      <c r="U5" s="11"/>
      <c r="V5" s="11"/>
      <c r="W5" s="80"/>
      <c r="X5" s="64"/>
    </row>
    <row r="6" spans="1:36">
      <c r="A6" s="47">
        <v>1</v>
      </c>
      <c r="B6" s="4" t="s">
        <v>1</v>
      </c>
      <c r="W6" s="81"/>
      <c r="X6" s="79"/>
    </row>
    <row r="7" spans="1:36">
      <c r="A7" s="47">
        <v>2</v>
      </c>
      <c r="C7" s="279" t="s">
        <v>1</v>
      </c>
      <c r="D7" s="291"/>
      <c r="E7" s="292"/>
      <c r="F7" s="293"/>
      <c r="G7" s="293"/>
      <c r="H7" s="293"/>
      <c r="I7" s="293"/>
      <c r="J7" s="293"/>
      <c r="K7" s="293"/>
      <c r="L7" s="293"/>
      <c r="M7" s="293"/>
      <c r="N7" s="279"/>
      <c r="O7" s="304">
        <f>+P7*0.98</f>
        <v>490000</v>
      </c>
      <c r="P7" s="276">
        <v>500000</v>
      </c>
      <c r="Q7" s="277">
        <f t="shared" ref="Q7:Q12" si="0">+O7-P7</f>
        <v>-10000</v>
      </c>
      <c r="R7" s="278">
        <f t="shared" ref="R7:R13" si="1">IF(P7=0,"NA",(+O7-P7)/P7)</f>
        <v>-0.02</v>
      </c>
      <c r="S7" s="279"/>
      <c r="T7" s="276">
        <v>329240.89</v>
      </c>
      <c r="U7" s="276">
        <v>329432.40000000002</v>
      </c>
      <c r="V7" s="278">
        <f t="shared" ref="V7:V13" si="2">IF(U7=0,"NA",(+T7-U7)/U7)</f>
        <v>-5.8133322648291214E-4</v>
      </c>
      <c r="W7" s="280" t="s">
        <v>190</v>
      </c>
      <c r="X7" s="65" t="s">
        <v>131</v>
      </c>
    </row>
    <row r="8" spans="1:36">
      <c r="C8" s="284" t="s">
        <v>421</v>
      </c>
      <c r="D8" s="294"/>
      <c r="E8" s="295"/>
      <c r="F8" s="296"/>
      <c r="G8" s="296"/>
      <c r="H8" s="296"/>
      <c r="I8" s="296"/>
      <c r="J8" s="296"/>
      <c r="K8" s="296"/>
      <c r="L8" s="296"/>
      <c r="M8" s="296"/>
      <c r="N8" s="284"/>
      <c r="O8" s="281">
        <v>0</v>
      </c>
      <c r="P8" s="281">
        <v>0</v>
      </c>
      <c r="Q8" s="282">
        <f t="shared" si="0"/>
        <v>0</v>
      </c>
      <c r="R8" s="283" t="str">
        <f t="shared" si="1"/>
        <v>NA</v>
      </c>
      <c r="S8" s="284"/>
      <c r="T8" s="281">
        <v>0</v>
      </c>
      <c r="U8" s="281">
        <v>0</v>
      </c>
      <c r="V8" s="283" t="str">
        <f>IF(U8=0,"NA",(+T8-U8)/U8)</f>
        <v>NA</v>
      </c>
      <c r="W8" s="280"/>
      <c r="X8" s="65"/>
    </row>
    <row r="9" spans="1:36">
      <c r="A9" s="47">
        <v>4</v>
      </c>
      <c r="C9" s="284" t="s">
        <v>2</v>
      </c>
      <c r="D9" s="294"/>
      <c r="E9" s="295"/>
      <c r="F9" s="296"/>
      <c r="G9" s="296"/>
      <c r="H9" s="296"/>
      <c r="I9" s="296"/>
      <c r="J9" s="296"/>
      <c r="K9" s="296"/>
      <c r="L9" s="296"/>
      <c r="M9" s="296"/>
      <c r="N9" s="284"/>
      <c r="O9" s="281">
        <v>3500</v>
      </c>
      <c r="P9" s="281">
        <v>4000</v>
      </c>
      <c r="Q9" s="282">
        <f t="shared" si="0"/>
        <v>-500</v>
      </c>
      <c r="R9" s="283">
        <f t="shared" si="1"/>
        <v>-0.125</v>
      </c>
      <c r="S9" s="284"/>
      <c r="T9" s="281">
        <v>3659</v>
      </c>
      <c r="U9" s="281">
        <v>3500</v>
      </c>
      <c r="V9" s="283">
        <f t="shared" si="2"/>
        <v>4.5428571428571429E-2</v>
      </c>
      <c r="W9" s="285"/>
      <c r="X9" s="65"/>
    </row>
    <row r="10" spans="1:36">
      <c r="A10" s="47">
        <v>5</v>
      </c>
      <c r="C10" s="284" t="s">
        <v>3</v>
      </c>
      <c r="D10" s="294"/>
      <c r="E10" s="295"/>
      <c r="F10" s="296"/>
      <c r="G10" s="296"/>
      <c r="H10" s="296"/>
      <c r="I10" s="296"/>
      <c r="J10" s="296"/>
      <c r="K10" s="296"/>
      <c r="L10" s="296"/>
      <c r="M10" s="296"/>
      <c r="N10" s="284"/>
      <c r="O10" s="281">
        <v>1000</v>
      </c>
      <c r="P10" s="281">
        <v>1000</v>
      </c>
      <c r="Q10" s="282">
        <f t="shared" si="0"/>
        <v>0</v>
      </c>
      <c r="R10" s="283">
        <f t="shared" si="1"/>
        <v>0</v>
      </c>
      <c r="S10" s="284"/>
      <c r="T10" s="281">
        <v>0</v>
      </c>
      <c r="U10" s="281">
        <v>0</v>
      </c>
      <c r="V10" s="283" t="str">
        <f t="shared" si="2"/>
        <v>NA</v>
      </c>
      <c r="W10" s="285"/>
      <c r="X10" s="65"/>
    </row>
    <row r="11" spans="1:36">
      <c r="A11" s="47">
        <v>6</v>
      </c>
      <c r="C11" s="284" t="s">
        <v>4</v>
      </c>
      <c r="D11" s="294"/>
      <c r="E11" s="295"/>
      <c r="F11" s="296"/>
      <c r="G11" s="296"/>
      <c r="H11" s="296"/>
      <c r="I11" s="296"/>
      <c r="J11" s="296"/>
      <c r="K11" s="296"/>
      <c r="L11" s="296"/>
      <c r="M11" s="296"/>
      <c r="N11" s="284"/>
      <c r="O11" s="281">
        <v>5000</v>
      </c>
      <c r="P11" s="281">
        <v>5000</v>
      </c>
      <c r="Q11" s="282">
        <f t="shared" si="0"/>
        <v>0</v>
      </c>
      <c r="R11" s="283">
        <f t="shared" si="1"/>
        <v>0</v>
      </c>
      <c r="S11" s="284"/>
      <c r="T11" s="281">
        <v>0</v>
      </c>
      <c r="U11" s="281">
        <v>0</v>
      </c>
      <c r="V11" s="283" t="str">
        <f t="shared" si="2"/>
        <v>NA</v>
      </c>
      <c r="W11" s="285"/>
      <c r="X11" s="65"/>
    </row>
    <row r="12" spans="1:36">
      <c r="A12" s="47">
        <v>7</v>
      </c>
      <c r="C12" s="289" t="s">
        <v>5</v>
      </c>
      <c r="D12" s="297"/>
      <c r="E12" s="298"/>
      <c r="F12" s="299"/>
      <c r="G12" s="299"/>
      <c r="H12" s="299"/>
      <c r="I12" s="299"/>
      <c r="J12" s="299"/>
      <c r="K12" s="299"/>
      <c r="L12" s="299"/>
      <c r="M12" s="299"/>
      <c r="N12" s="289"/>
      <c r="O12" s="286">
        <v>2800</v>
      </c>
      <c r="P12" s="286">
        <v>3000</v>
      </c>
      <c r="Q12" s="287">
        <f t="shared" si="0"/>
        <v>-200</v>
      </c>
      <c r="R12" s="288">
        <f t="shared" si="1"/>
        <v>-6.6666666666666666E-2</v>
      </c>
      <c r="S12" s="289"/>
      <c r="T12" s="286">
        <v>3148</v>
      </c>
      <c r="U12" s="286">
        <v>2800</v>
      </c>
      <c r="V12" s="288">
        <f t="shared" si="2"/>
        <v>0.12428571428571429</v>
      </c>
      <c r="W12" s="290"/>
      <c r="X12" s="65"/>
    </row>
    <row r="13" spans="1:36">
      <c r="A13" s="47">
        <v>8</v>
      </c>
      <c r="B13" s="12" t="s">
        <v>6</v>
      </c>
      <c r="C13" s="12"/>
      <c r="D13" s="12"/>
      <c r="E13" s="92"/>
      <c r="F13" s="92"/>
      <c r="G13" s="92"/>
      <c r="H13" s="92"/>
      <c r="I13" s="92"/>
      <c r="J13" s="92"/>
      <c r="K13" s="92"/>
      <c r="L13" s="92"/>
      <c r="M13" s="92"/>
      <c r="N13" s="12"/>
      <c r="O13" s="12">
        <f>SUM(O7:O12)</f>
        <v>502300</v>
      </c>
      <c r="P13" s="12">
        <f>SUM(P7:P12)</f>
        <v>513000</v>
      </c>
      <c r="Q13" s="12">
        <f>SUM(Q7:Q12)</f>
        <v>-10700</v>
      </c>
      <c r="R13" s="13">
        <f t="shared" si="1"/>
        <v>-2.0857699805068228E-2</v>
      </c>
      <c r="T13" s="12">
        <f>SUM(T7:T12)</f>
        <v>336047.89</v>
      </c>
      <c r="U13" s="12">
        <f>SUM(U7:U12)</f>
        <v>335732.4</v>
      </c>
      <c r="V13" s="13">
        <f t="shared" si="2"/>
        <v>9.3970674263190172E-4</v>
      </c>
      <c r="W13" s="82"/>
      <c r="X13" s="66"/>
    </row>
    <row r="14" spans="1:36" ht="5.25" customHeight="1">
      <c r="A14" s="47">
        <v>9</v>
      </c>
      <c r="R14" s="7"/>
      <c r="W14" s="82"/>
      <c r="X14" s="66"/>
    </row>
    <row r="15" spans="1:36">
      <c r="A15" s="47">
        <v>10</v>
      </c>
      <c r="B15" s="4" t="s">
        <v>7</v>
      </c>
      <c r="R15" s="7"/>
      <c r="W15" s="82"/>
      <c r="X15" s="66"/>
    </row>
    <row r="16" spans="1:36">
      <c r="A16" s="47">
        <v>11</v>
      </c>
      <c r="C16" s="279" t="s">
        <v>8</v>
      </c>
      <c r="D16" s="291"/>
      <c r="E16" s="292"/>
      <c r="F16" s="293"/>
      <c r="G16" s="293"/>
      <c r="H16" s="293"/>
      <c r="I16" s="293"/>
      <c r="J16" s="293"/>
      <c r="K16" s="293"/>
      <c r="L16" s="293"/>
      <c r="M16" s="293"/>
      <c r="N16" s="279"/>
      <c r="O16" s="276">
        <v>11000</v>
      </c>
      <c r="P16" s="276">
        <v>8500</v>
      </c>
      <c r="Q16" s="277">
        <f>+O16-P16</f>
        <v>2500</v>
      </c>
      <c r="R16" s="278">
        <f t="shared" ref="R16:R22" si="3">IF(P16=0,"NA",(+O16-P16)/P16)</f>
        <v>0.29411764705882354</v>
      </c>
      <c r="S16" s="279"/>
      <c r="T16" s="276">
        <v>5208.58</v>
      </c>
      <c r="U16" s="276">
        <v>6416.69</v>
      </c>
      <c r="V16" s="278">
        <f t="shared" ref="V16:V22" si="4">IF(U16=0,"NA",(+T16-U16)/U16)</f>
        <v>-0.18827619847616134</v>
      </c>
      <c r="W16" s="280"/>
      <c r="X16" s="65"/>
    </row>
    <row r="17" spans="1:36">
      <c r="A17" s="47">
        <v>12</v>
      </c>
      <c r="C17" s="284" t="s">
        <v>7</v>
      </c>
      <c r="D17" s="294"/>
      <c r="E17" s="295"/>
      <c r="F17" s="296"/>
      <c r="G17" s="296"/>
      <c r="H17" s="296"/>
      <c r="I17" s="296"/>
      <c r="J17" s="296"/>
      <c r="K17" s="296"/>
      <c r="L17" s="296"/>
      <c r="M17" s="296"/>
      <c r="N17" s="284"/>
      <c r="O17" s="281">
        <f>+P17</f>
        <v>0</v>
      </c>
      <c r="P17" s="281">
        <v>0</v>
      </c>
      <c r="Q17" s="282">
        <f>+O17-P17</f>
        <v>0</v>
      </c>
      <c r="R17" s="283" t="str">
        <f t="shared" si="3"/>
        <v>NA</v>
      </c>
      <c r="S17" s="284"/>
      <c r="T17" s="281">
        <v>4521.5</v>
      </c>
      <c r="U17" s="281">
        <v>0</v>
      </c>
      <c r="V17" s="283" t="str">
        <f t="shared" si="4"/>
        <v>NA</v>
      </c>
      <c r="W17" s="300"/>
      <c r="X17" s="66"/>
    </row>
    <row r="18" spans="1:36">
      <c r="A18" s="47">
        <v>13</v>
      </c>
      <c r="C18" s="284" t="s">
        <v>9</v>
      </c>
      <c r="D18" s="294"/>
      <c r="E18" s="295"/>
      <c r="F18" s="296"/>
      <c r="G18" s="296"/>
      <c r="H18" s="296"/>
      <c r="I18" s="296"/>
      <c r="J18" s="296"/>
      <c r="K18" s="296"/>
      <c r="L18" s="296"/>
      <c r="M18" s="296"/>
      <c r="N18" s="284"/>
      <c r="O18" s="281">
        <f>+P18</f>
        <v>0</v>
      </c>
      <c r="P18" s="281">
        <v>0</v>
      </c>
      <c r="Q18" s="282">
        <f>+O18-P18</f>
        <v>0</v>
      </c>
      <c r="R18" s="283" t="str">
        <f t="shared" si="3"/>
        <v>NA</v>
      </c>
      <c r="S18" s="284"/>
      <c r="T18" s="281">
        <v>0</v>
      </c>
      <c r="U18" s="281">
        <v>0</v>
      </c>
      <c r="V18" s="283" t="str">
        <f t="shared" si="4"/>
        <v>NA</v>
      </c>
      <c r="W18" s="300"/>
      <c r="X18" s="66"/>
    </row>
    <row r="19" spans="1:36">
      <c r="A19" s="47">
        <v>14</v>
      </c>
      <c r="C19" s="284" t="s">
        <v>11</v>
      </c>
      <c r="D19" s="294"/>
      <c r="E19" s="295"/>
      <c r="F19" s="296"/>
      <c r="G19" s="296"/>
      <c r="H19" s="296"/>
      <c r="I19" s="296"/>
      <c r="J19" s="296"/>
      <c r="K19" s="296"/>
      <c r="L19" s="296"/>
      <c r="M19" s="296"/>
      <c r="N19" s="284"/>
      <c r="O19" s="281">
        <f>+P19</f>
        <v>0</v>
      </c>
      <c r="P19" s="281">
        <v>0</v>
      </c>
      <c r="Q19" s="282">
        <f>+O19-P19</f>
        <v>0</v>
      </c>
      <c r="R19" s="283" t="str">
        <f t="shared" si="3"/>
        <v>NA</v>
      </c>
      <c r="S19" s="284"/>
      <c r="T19" s="281">
        <v>1.87</v>
      </c>
      <c r="U19" s="281">
        <v>0</v>
      </c>
      <c r="V19" s="283" t="str">
        <f t="shared" si="4"/>
        <v>NA</v>
      </c>
      <c r="W19" s="300"/>
      <c r="X19" s="66"/>
    </row>
    <row r="20" spans="1:36">
      <c r="A20" s="47">
        <v>15</v>
      </c>
      <c r="C20" s="289" t="s">
        <v>99</v>
      </c>
      <c r="D20" s="297"/>
      <c r="E20" s="298"/>
      <c r="F20" s="299"/>
      <c r="G20" s="299"/>
      <c r="H20" s="299"/>
      <c r="I20" s="299"/>
      <c r="J20" s="299"/>
      <c r="K20" s="299"/>
      <c r="L20" s="299"/>
      <c r="M20" s="299"/>
      <c r="N20" s="289"/>
      <c r="O20" s="286">
        <f>+P20</f>
        <v>0</v>
      </c>
      <c r="P20" s="286">
        <v>0</v>
      </c>
      <c r="Q20" s="287">
        <f>+O20-P20</f>
        <v>0</v>
      </c>
      <c r="R20" s="288" t="str">
        <f t="shared" si="3"/>
        <v>NA</v>
      </c>
      <c r="S20" s="289"/>
      <c r="T20" s="286">
        <v>0</v>
      </c>
      <c r="U20" s="286">
        <v>0</v>
      </c>
      <c r="V20" s="288" t="str">
        <f t="shared" si="4"/>
        <v>NA</v>
      </c>
      <c r="W20" s="301"/>
      <c r="X20" s="66"/>
    </row>
    <row r="21" spans="1:36">
      <c r="A21" s="47">
        <v>16</v>
      </c>
      <c r="B21" s="12" t="s">
        <v>10</v>
      </c>
      <c r="C21" s="12"/>
      <c r="D21" s="12"/>
      <c r="E21" s="92"/>
      <c r="F21" s="92"/>
      <c r="G21" s="92"/>
      <c r="H21" s="92"/>
      <c r="I21" s="92"/>
      <c r="J21" s="92"/>
      <c r="K21" s="92"/>
      <c r="L21" s="92"/>
      <c r="M21" s="92"/>
      <c r="N21" s="12"/>
      <c r="O21" s="12">
        <f>SUM(O16:O20)</f>
        <v>11000</v>
      </c>
      <c r="P21" s="12">
        <f>SUM(P16:P20)</f>
        <v>8500</v>
      </c>
      <c r="Q21" s="12">
        <f>SUM(Q16:Q20)</f>
        <v>2500</v>
      </c>
      <c r="R21" s="13">
        <f t="shared" si="3"/>
        <v>0.29411764705882354</v>
      </c>
      <c r="T21" s="12">
        <f>SUM(T16:T20)</f>
        <v>9731.9500000000007</v>
      </c>
      <c r="U21" s="12">
        <f>SUM(U16:U20)</f>
        <v>6416.69</v>
      </c>
      <c r="V21" s="13">
        <f t="shared" si="4"/>
        <v>0.51666201733292416</v>
      </c>
      <c r="W21" s="82"/>
      <c r="X21" s="66"/>
    </row>
    <row r="22" spans="1:36">
      <c r="A22" s="47">
        <v>17</v>
      </c>
      <c r="B22" s="12" t="s">
        <v>12</v>
      </c>
      <c r="C22" s="12"/>
      <c r="D22" s="12"/>
      <c r="E22" s="92"/>
      <c r="F22" s="92"/>
      <c r="G22" s="92"/>
      <c r="H22" s="92"/>
      <c r="I22" s="92"/>
      <c r="J22" s="92"/>
      <c r="K22" s="92"/>
      <c r="L22" s="92"/>
      <c r="M22" s="92"/>
      <c r="N22" s="12"/>
      <c r="O22" s="12">
        <f>+O13+O21</f>
        <v>513300</v>
      </c>
      <c r="P22" s="12">
        <f>+P13+P21</f>
        <v>521500</v>
      </c>
      <c r="Q22" s="12">
        <f>+Q13+Q21</f>
        <v>-8200</v>
      </c>
      <c r="R22" s="13">
        <f t="shared" si="3"/>
        <v>-1.5723873441994246E-2</v>
      </c>
      <c r="T22" s="12">
        <f>+T13+T21</f>
        <v>345779.84</v>
      </c>
      <c r="U22" s="12">
        <f>+U13+U21</f>
        <v>342149.09</v>
      </c>
      <c r="V22" s="13">
        <f t="shared" si="4"/>
        <v>1.061160209428001E-2</v>
      </c>
      <c r="W22" s="82"/>
      <c r="X22" s="66"/>
    </row>
    <row r="23" spans="1:36" ht="6" customHeight="1">
      <c r="A23" s="47">
        <v>18</v>
      </c>
      <c r="R23" s="7"/>
      <c r="W23" s="82"/>
      <c r="X23" s="66"/>
    </row>
    <row r="24" spans="1:36" ht="18.5">
      <c r="A24" s="47">
        <v>19</v>
      </c>
      <c r="B24" s="9" t="s">
        <v>13</v>
      </c>
      <c r="R24" s="7"/>
      <c r="W24" s="82"/>
      <c r="X24" s="66"/>
    </row>
    <row r="25" spans="1:36" ht="18.5">
      <c r="A25" s="47">
        <v>20</v>
      </c>
      <c r="B25" s="9" t="s">
        <v>96</v>
      </c>
      <c r="R25" s="7"/>
      <c r="W25" s="82"/>
      <c r="X25" s="66"/>
    </row>
    <row r="26" spans="1:36" hidden="1">
      <c r="A26" s="47">
        <v>21</v>
      </c>
      <c r="C26" s="1" t="s">
        <v>14</v>
      </c>
      <c r="O26" s="1">
        <f>+O22</f>
        <v>513300</v>
      </c>
      <c r="P26" s="1">
        <f>+P22</f>
        <v>521500</v>
      </c>
      <c r="Q26" s="40">
        <f>+O26-P26</f>
        <v>-8200</v>
      </c>
      <c r="R26" s="7"/>
      <c r="W26" s="82"/>
      <c r="X26" s="66"/>
    </row>
    <row r="27" spans="1:36" hidden="1">
      <c r="A27" s="47">
        <v>23</v>
      </c>
      <c r="C27" s="1" t="s">
        <v>15</v>
      </c>
      <c r="O27" s="40">
        <f>-O177</f>
        <v>0</v>
      </c>
      <c r="P27" s="40">
        <f>-P177</f>
        <v>0</v>
      </c>
      <c r="Q27" s="40">
        <f>+O27-P27</f>
        <v>0</v>
      </c>
      <c r="R27" s="7"/>
      <c r="T27" s="40"/>
      <c r="U27" s="40"/>
      <c r="W27" s="82"/>
      <c r="X27" s="66"/>
    </row>
    <row r="28" spans="1:36" hidden="1">
      <c r="A28" s="47">
        <v>24</v>
      </c>
      <c r="C28" s="1" t="s">
        <v>16</v>
      </c>
      <c r="O28" s="40">
        <f>-O166</f>
        <v>0</v>
      </c>
      <c r="P28" s="40">
        <f>-P166</f>
        <v>0</v>
      </c>
      <c r="Q28" s="40">
        <f>+O28-P28</f>
        <v>0</v>
      </c>
      <c r="R28" s="7"/>
      <c r="T28" s="40"/>
      <c r="U28" s="40"/>
      <c r="W28" s="82"/>
      <c r="X28" s="66"/>
    </row>
    <row r="29" spans="1:36" hidden="1">
      <c r="A29" s="47">
        <v>25</v>
      </c>
      <c r="C29" s="1" t="s">
        <v>117</v>
      </c>
      <c r="O29" s="1">
        <f>SUM(O26:O28)</f>
        <v>513300</v>
      </c>
      <c r="P29" s="1">
        <f>SUM(P26:P28)</f>
        <v>521500</v>
      </c>
      <c r="Q29" s="40">
        <f>+O29-P29</f>
        <v>-8200</v>
      </c>
      <c r="R29" s="7"/>
      <c r="W29" s="82"/>
      <c r="X29" s="66"/>
    </row>
    <row r="30" spans="1:36" s="4" customFormat="1">
      <c r="A30" s="47">
        <v>26</v>
      </c>
      <c r="B30" s="14"/>
      <c r="C30" s="15" t="s">
        <v>97</v>
      </c>
      <c r="D30" s="15"/>
      <c r="E30" s="93"/>
      <c r="F30" s="94"/>
      <c r="G30" s="94"/>
      <c r="H30" s="94"/>
      <c r="I30" s="94"/>
      <c r="J30" s="94"/>
      <c r="K30" s="94"/>
      <c r="L30" s="94"/>
      <c r="M30" s="94"/>
      <c r="N30" s="14"/>
      <c r="O30" s="14">
        <f>ROUND(+O29*0.1,0)</f>
        <v>51330</v>
      </c>
      <c r="P30" s="14">
        <f>ROUND(+P29*0.1,0)</f>
        <v>52150</v>
      </c>
      <c r="Q30" s="14">
        <f>ROUND(+Q29*0.1,0)</f>
        <v>-820</v>
      </c>
      <c r="R30" s="16">
        <f>IF(P30=0,"NA",(+O30-P30)/P30)</f>
        <v>-1.5723873441994246E-2</v>
      </c>
      <c r="S30" s="1"/>
      <c r="T30" s="53">
        <v>28115.040000000001</v>
      </c>
      <c r="U30" s="53">
        <v>28615.07</v>
      </c>
      <c r="V30" s="16">
        <f>IF(U30=0,"NA",(+T30-U30)/U30)</f>
        <v>-1.7474358790665157E-2</v>
      </c>
      <c r="W30" s="83"/>
      <c r="X30" s="67"/>
      <c r="AE30" s="1">
        <f>+$O30</f>
        <v>51330</v>
      </c>
      <c r="AF30" s="1"/>
      <c r="AI30" s="1">
        <f>+$T30</f>
        <v>28115.040000000001</v>
      </c>
      <c r="AJ30" s="1"/>
    </row>
    <row r="31" spans="1:36" s="4" customFormat="1" ht="6.75" customHeight="1">
      <c r="A31" s="47">
        <v>27</v>
      </c>
      <c r="B31" s="17"/>
      <c r="C31" s="18"/>
      <c r="D31" s="17"/>
      <c r="E31" s="90"/>
      <c r="F31" s="90"/>
      <c r="G31" s="90"/>
      <c r="H31" s="90"/>
      <c r="I31" s="90"/>
      <c r="J31" s="90"/>
      <c r="K31" s="90"/>
      <c r="L31" s="90"/>
      <c r="M31" s="90"/>
      <c r="N31" s="17"/>
      <c r="O31" s="17"/>
      <c r="P31" s="19"/>
      <c r="Q31" s="17"/>
      <c r="R31" s="20"/>
      <c r="S31" s="1"/>
      <c r="T31" s="17"/>
      <c r="U31" s="17"/>
      <c r="V31" s="20"/>
      <c r="W31" s="84"/>
      <c r="X31" s="68"/>
    </row>
    <row r="32" spans="1:36" s="4" customFormat="1" ht="18.5">
      <c r="A32" s="47">
        <v>28</v>
      </c>
      <c r="B32" s="21" t="s">
        <v>66</v>
      </c>
      <c r="C32" s="18"/>
      <c r="D32" s="17"/>
      <c r="E32" s="90"/>
      <c r="F32" s="90"/>
      <c r="G32" s="90"/>
      <c r="H32" s="90"/>
      <c r="I32" s="90"/>
      <c r="J32" s="90"/>
      <c r="K32" s="90"/>
      <c r="L32" s="90"/>
      <c r="M32" s="90"/>
      <c r="N32" s="17"/>
      <c r="O32" s="17"/>
      <c r="P32" s="19"/>
      <c r="Q32" s="17"/>
      <c r="R32" s="20"/>
      <c r="S32" s="1"/>
      <c r="T32" s="17"/>
      <c r="U32" s="17"/>
      <c r="V32" s="20"/>
      <c r="W32" s="84"/>
      <c r="X32" s="68"/>
    </row>
    <row r="33" spans="1:34">
      <c r="A33" s="47">
        <v>29</v>
      </c>
      <c r="B33" s="4" t="s">
        <v>17</v>
      </c>
      <c r="R33" s="7"/>
      <c r="W33" s="82"/>
      <c r="X33" s="66"/>
    </row>
    <row r="34" spans="1:34" ht="29">
      <c r="A34" s="47">
        <v>30</v>
      </c>
      <c r="C34" s="279" t="s">
        <v>88</v>
      </c>
      <c r="D34" s="291"/>
      <c r="E34" s="292"/>
      <c r="F34" s="293"/>
      <c r="G34" s="293"/>
      <c r="H34" s="293"/>
      <c r="I34" s="293"/>
      <c r="J34" s="293"/>
      <c r="K34" s="293"/>
      <c r="L34" s="293"/>
      <c r="M34" s="293"/>
      <c r="N34" s="279"/>
      <c r="O34" s="276">
        <v>2000</v>
      </c>
      <c r="P34" s="276">
        <v>2000</v>
      </c>
      <c r="Q34" s="277">
        <f t="shared" ref="Q34:Q40" si="5">+O34-P34</f>
        <v>0</v>
      </c>
      <c r="R34" s="278">
        <f t="shared" ref="R34:R41" si="6">IF(P34=0,"NA",(+O34-P34)/P34)</f>
        <v>0</v>
      </c>
      <c r="S34" s="279"/>
      <c r="T34" s="276">
        <v>510.68</v>
      </c>
      <c r="U34" s="276">
        <v>1112</v>
      </c>
      <c r="V34" s="278">
        <f t="shared" ref="V34:V41" si="7">IF(U34=0,"NA",(+T34-U34)/U34)</f>
        <v>-0.54075539568345321</v>
      </c>
      <c r="W34" s="280" t="s">
        <v>227</v>
      </c>
      <c r="X34" s="65" t="s">
        <v>133</v>
      </c>
      <c r="AD34" s="1">
        <f>+$O34</f>
        <v>2000</v>
      </c>
      <c r="AH34" s="1">
        <f>+$T34</f>
        <v>510.68</v>
      </c>
    </row>
    <row r="35" spans="1:34" ht="43.5">
      <c r="A35" s="47">
        <v>31</v>
      </c>
      <c r="C35" s="284" t="s">
        <v>18</v>
      </c>
      <c r="D35" s="294"/>
      <c r="E35" s="295"/>
      <c r="F35" s="296"/>
      <c r="G35" s="296"/>
      <c r="H35" s="296"/>
      <c r="I35" s="296"/>
      <c r="J35" s="296"/>
      <c r="K35" s="296"/>
      <c r="L35" s="296"/>
      <c r="M35" s="296"/>
      <c r="N35" s="284"/>
      <c r="O35" s="281">
        <v>1000</v>
      </c>
      <c r="P35" s="281">
        <v>1000</v>
      </c>
      <c r="Q35" s="282">
        <f t="shared" si="5"/>
        <v>0</v>
      </c>
      <c r="R35" s="283">
        <f t="shared" si="6"/>
        <v>0</v>
      </c>
      <c r="S35" s="284"/>
      <c r="T35" s="281">
        <v>87.48</v>
      </c>
      <c r="U35" s="281">
        <v>0</v>
      </c>
      <c r="V35" s="283" t="str">
        <f t="shared" si="7"/>
        <v>NA</v>
      </c>
      <c r="W35" s="285" t="s">
        <v>235</v>
      </c>
      <c r="X35" s="69" t="s">
        <v>134</v>
      </c>
      <c r="AD35" s="1">
        <f t="shared" ref="AD35:AD40" si="8">+$O35</f>
        <v>1000</v>
      </c>
      <c r="AH35" s="1">
        <f t="shared" ref="AH35:AH40" si="9">+$T35</f>
        <v>87.48</v>
      </c>
    </row>
    <row r="36" spans="1:34" ht="58">
      <c r="A36" s="47">
        <v>32</v>
      </c>
      <c r="C36" s="284" t="s">
        <v>236</v>
      </c>
      <c r="D36" s="294"/>
      <c r="E36" s="295"/>
      <c r="F36" s="296"/>
      <c r="G36" s="296"/>
      <c r="H36" s="296"/>
      <c r="I36" s="296"/>
      <c r="J36" s="296"/>
      <c r="K36" s="296"/>
      <c r="L36" s="296"/>
      <c r="M36" s="296"/>
      <c r="N36" s="284"/>
      <c r="O36" s="281">
        <v>1000</v>
      </c>
      <c r="P36" s="281">
        <v>500</v>
      </c>
      <c r="Q36" s="282">
        <f t="shared" si="5"/>
        <v>500</v>
      </c>
      <c r="R36" s="283">
        <f t="shared" si="6"/>
        <v>1</v>
      </c>
      <c r="S36" s="284"/>
      <c r="T36" s="281">
        <v>0</v>
      </c>
      <c r="U36" s="281">
        <v>1000</v>
      </c>
      <c r="V36" s="283">
        <f t="shared" si="7"/>
        <v>-1</v>
      </c>
      <c r="W36" s="285" t="s">
        <v>269</v>
      </c>
      <c r="X36" s="69" t="s">
        <v>135</v>
      </c>
      <c r="AD36" s="1">
        <f t="shared" si="8"/>
        <v>1000</v>
      </c>
      <c r="AH36" s="1">
        <f t="shared" si="9"/>
        <v>0</v>
      </c>
    </row>
    <row r="37" spans="1:34" ht="32" customHeight="1">
      <c r="A37" s="47">
        <v>33</v>
      </c>
      <c r="C37" s="284" t="s">
        <v>19</v>
      </c>
      <c r="D37" s="294"/>
      <c r="E37" s="295"/>
      <c r="F37" s="296"/>
      <c r="G37" s="296"/>
      <c r="H37" s="296"/>
      <c r="I37" s="296"/>
      <c r="J37" s="296"/>
      <c r="K37" s="296"/>
      <c r="L37" s="296"/>
      <c r="M37" s="296"/>
      <c r="N37" s="284"/>
      <c r="O37" s="281">
        <v>300</v>
      </c>
      <c r="P37" s="281">
        <v>200</v>
      </c>
      <c r="Q37" s="282">
        <f t="shared" si="5"/>
        <v>100</v>
      </c>
      <c r="R37" s="283">
        <f t="shared" si="6"/>
        <v>0.5</v>
      </c>
      <c r="S37" s="284"/>
      <c r="T37" s="281">
        <v>0</v>
      </c>
      <c r="U37" s="281">
        <v>175</v>
      </c>
      <c r="V37" s="283">
        <f t="shared" si="7"/>
        <v>-1</v>
      </c>
      <c r="W37" s="285" t="s">
        <v>228</v>
      </c>
      <c r="X37" s="65" t="s">
        <v>136</v>
      </c>
      <c r="AD37" s="1">
        <f t="shared" si="8"/>
        <v>300</v>
      </c>
      <c r="AH37" s="1">
        <f t="shared" si="9"/>
        <v>0</v>
      </c>
    </row>
    <row r="38" spans="1:34" ht="14.5" customHeight="1">
      <c r="A38" s="47">
        <v>34</v>
      </c>
      <c r="C38" s="284" t="s">
        <v>20</v>
      </c>
      <c r="D38" s="294"/>
      <c r="E38" s="295"/>
      <c r="F38" s="296"/>
      <c r="G38" s="296"/>
      <c r="H38" s="296"/>
      <c r="I38" s="296"/>
      <c r="J38" s="296"/>
      <c r="K38" s="296"/>
      <c r="L38" s="296"/>
      <c r="M38" s="296"/>
      <c r="N38" s="284"/>
      <c r="O38" s="281">
        <v>200</v>
      </c>
      <c r="P38" s="281">
        <v>200</v>
      </c>
      <c r="Q38" s="282">
        <f t="shared" si="5"/>
        <v>0</v>
      </c>
      <c r="R38" s="283">
        <f t="shared" si="6"/>
        <v>0</v>
      </c>
      <c r="S38" s="284"/>
      <c r="T38" s="281">
        <v>205.52</v>
      </c>
      <c r="U38" s="281">
        <v>200</v>
      </c>
      <c r="V38" s="283">
        <f t="shared" si="7"/>
        <v>2.7600000000000052E-2</v>
      </c>
      <c r="W38" s="285" t="s">
        <v>229</v>
      </c>
      <c r="X38" s="69" t="s">
        <v>137</v>
      </c>
      <c r="AD38" s="1">
        <f t="shared" si="8"/>
        <v>200</v>
      </c>
      <c r="AH38" s="1">
        <f t="shared" si="9"/>
        <v>205.52</v>
      </c>
    </row>
    <row r="39" spans="1:34">
      <c r="C39" s="284" t="s">
        <v>114</v>
      </c>
      <c r="D39" s="294"/>
      <c r="E39" s="295"/>
      <c r="F39" s="296"/>
      <c r="G39" s="296"/>
      <c r="H39" s="296"/>
      <c r="I39" s="296"/>
      <c r="J39" s="296"/>
      <c r="K39" s="296"/>
      <c r="L39" s="296"/>
      <c r="M39" s="296"/>
      <c r="N39" s="284"/>
      <c r="O39" s="281">
        <v>750</v>
      </c>
      <c r="P39" s="281">
        <v>750</v>
      </c>
      <c r="Q39" s="282">
        <f t="shared" si="5"/>
        <v>0</v>
      </c>
      <c r="R39" s="283">
        <f>IF(P39=0,"NA",(+O39-P39)/P39)</f>
        <v>0</v>
      </c>
      <c r="S39" s="284"/>
      <c r="T39" s="281">
        <v>250.5</v>
      </c>
      <c r="U39" s="281">
        <v>437.5</v>
      </c>
      <c r="V39" s="283">
        <f>IF(U39=0,"NA",(+T39-U39)/U39)</f>
        <v>-0.42742857142857144</v>
      </c>
      <c r="W39" s="285" t="s">
        <v>231</v>
      </c>
      <c r="X39" s="69" t="s">
        <v>138</v>
      </c>
      <c r="AD39" s="1">
        <f t="shared" si="8"/>
        <v>750</v>
      </c>
      <c r="AH39" s="1">
        <f t="shared" si="9"/>
        <v>250.5</v>
      </c>
    </row>
    <row r="40" spans="1:34" ht="14.4" customHeight="1">
      <c r="A40" s="47">
        <v>35</v>
      </c>
      <c r="C40" s="289" t="s">
        <v>92</v>
      </c>
      <c r="D40" s="297"/>
      <c r="E40" s="298"/>
      <c r="F40" s="299"/>
      <c r="G40" s="299"/>
      <c r="H40" s="299"/>
      <c r="I40" s="299"/>
      <c r="J40" s="299"/>
      <c r="K40" s="299"/>
      <c r="L40" s="299"/>
      <c r="M40" s="299"/>
      <c r="N40" s="289"/>
      <c r="O40" s="286">
        <v>200</v>
      </c>
      <c r="P40" s="286">
        <v>200</v>
      </c>
      <c r="Q40" s="287">
        <f t="shared" si="5"/>
        <v>0</v>
      </c>
      <c r="R40" s="288">
        <f t="shared" si="6"/>
        <v>0</v>
      </c>
      <c r="S40" s="289"/>
      <c r="T40" s="286">
        <v>0</v>
      </c>
      <c r="U40" s="286">
        <v>116.69</v>
      </c>
      <c r="V40" s="288">
        <f t="shared" si="7"/>
        <v>-1</v>
      </c>
      <c r="W40" s="290" t="s">
        <v>230</v>
      </c>
      <c r="X40" s="69" t="s">
        <v>139</v>
      </c>
      <c r="AD40" s="1">
        <f t="shared" si="8"/>
        <v>200</v>
      </c>
      <c r="AH40" s="1">
        <f t="shared" si="9"/>
        <v>0</v>
      </c>
    </row>
    <row r="41" spans="1:34" s="4" customFormat="1">
      <c r="A41" s="47">
        <v>36</v>
      </c>
      <c r="B41" s="22" t="s">
        <v>21</v>
      </c>
      <c r="C41" s="22"/>
      <c r="D41" s="39"/>
      <c r="E41" s="95"/>
      <c r="F41" s="95"/>
      <c r="G41" s="95"/>
      <c r="H41" s="95"/>
      <c r="I41" s="95"/>
      <c r="J41" s="95"/>
      <c r="K41" s="95"/>
      <c r="L41" s="95"/>
      <c r="M41" s="95"/>
      <c r="N41" s="39"/>
      <c r="O41" s="22">
        <f>SUM(O34:O40)</f>
        <v>5450</v>
      </c>
      <c r="P41" s="39">
        <f>SUM(P34:P40)</f>
        <v>4850</v>
      </c>
      <c r="Q41" s="39">
        <f>SUM(Q34:Q40)</f>
        <v>600</v>
      </c>
      <c r="R41" s="23">
        <f t="shared" si="6"/>
        <v>0.12371134020618557</v>
      </c>
      <c r="T41" s="39">
        <f>SUM(T34:T40)</f>
        <v>1054.1799999999998</v>
      </c>
      <c r="U41" s="39">
        <f>SUM(U34:U40)</f>
        <v>3041.19</v>
      </c>
      <c r="V41" s="23">
        <f t="shared" si="7"/>
        <v>-0.65336595214373328</v>
      </c>
      <c r="W41" s="84"/>
      <c r="X41" s="68"/>
    </row>
    <row r="42" spans="1:34" ht="6" customHeight="1">
      <c r="A42" s="47">
        <v>37</v>
      </c>
      <c r="R42" s="7"/>
      <c r="W42" s="82"/>
      <c r="X42" s="66"/>
    </row>
    <row r="43" spans="1:34">
      <c r="A43" s="47">
        <v>40</v>
      </c>
      <c r="B43" s="4" t="s">
        <v>167</v>
      </c>
      <c r="R43" s="7"/>
      <c r="W43" s="82"/>
      <c r="X43" s="66"/>
    </row>
    <row r="44" spans="1:34" ht="27.5" customHeight="1">
      <c r="A44" s="47">
        <v>41</v>
      </c>
      <c r="C44" s="279" t="s">
        <v>22</v>
      </c>
      <c r="D44" s="291"/>
      <c r="E44" s="292"/>
      <c r="F44" s="293"/>
      <c r="G44" s="293"/>
      <c r="H44" s="293"/>
      <c r="I44" s="293"/>
      <c r="J44" s="293"/>
      <c r="K44" s="293"/>
      <c r="L44" s="293"/>
      <c r="M44" s="293"/>
      <c r="N44" s="279"/>
      <c r="O44" s="304">
        <f>5000-1000</f>
        <v>4000</v>
      </c>
      <c r="P44" s="276">
        <v>5000</v>
      </c>
      <c r="Q44" s="277">
        <f>+O44-P44</f>
        <v>-1000</v>
      </c>
      <c r="R44" s="278">
        <f>IF(P44=0,"NA",(+O44-P44)/P44)</f>
        <v>-0.2</v>
      </c>
      <c r="S44" s="279"/>
      <c r="T44" s="276">
        <v>1859.22</v>
      </c>
      <c r="U44" s="276">
        <v>2333.31</v>
      </c>
      <c r="V44" s="278">
        <f>IF(U44=0,"NA",(+T44-U44)/U44)</f>
        <v>-0.20318346040603261</v>
      </c>
      <c r="W44" s="280" t="s">
        <v>394</v>
      </c>
      <c r="X44" s="69" t="s">
        <v>159</v>
      </c>
      <c r="AC44" s="1">
        <f>+$O44</f>
        <v>4000</v>
      </c>
      <c r="AG44" s="1">
        <f>+$T44</f>
        <v>1859.22</v>
      </c>
    </row>
    <row r="45" spans="1:34">
      <c r="C45" s="284" t="s">
        <v>173</v>
      </c>
      <c r="D45" s="294"/>
      <c r="E45" s="295"/>
      <c r="F45" s="296"/>
      <c r="G45" s="296"/>
      <c r="H45" s="296"/>
      <c r="I45" s="296"/>
      <c r="J45" s="296"/>
      <c r="K45" s="296"/>
      <c r="L45" s="296"/>
      <c r="M45" s="296"/>
      <c r="N45" s="284"/>
      <c r="O45" s="281">
        <v>0</v>
      </c>
      <c r="P45" s="281">
        <v>0</v>
      </c>
      <c r="Q45" s="282">
        <f>+O45-P45</f>
        <v>0</v>
      </c>
      <c r="R45" s="283" t="str">
        <f>IF(P45=0,"NA",(+O45-P45)/P45)</f>
        <v>NA</v>
      </c>
      <c r="S45" s="284"/>
      <c r="T45" s="281">
        <v>0</v>
      </c>
      <c r="U45" s="281">
        <v>0</v>
      </c>
      <c r="V45" s="283" t="str">
        <f>IF(U45=0,"NA",(+T45-U45)/U45)</f>
        <v>NA</v>
      </c>
      <c r="W45" s="285" t="s">
        <v>174</v>
      </c>
      <c r="X45" s="69"/>
      <c r="AC45" s="1">
        <f>+$O45</f>
        <v>0</v>
      </c>
      <c r="AG45" s="1">
        <f>+$T45</f>
        <v>0</v>
      </c>
    </row>
    <row r="46" spans="1:34">
      <c r="A46" s="47">
        <v>43</v>
      </c>
      <c r="C46" s="284" t="s">
        <v>23</v>
      </c>
      <c r="D46" s="294"/>
      <c r="E46" s="295"/>
      <c r="F46" s="296"/>
      <c r="G46" s="296"/>
      <c r="H46" s="296"/>
      <c r="I46" s="296"/>
      <c r="J46" s="296"/>
      <c r="K46" s="296"/>
      <c r="L46" s="296"/>
      <c r="M46" s="296"/>
      <c r="N46" s="284"/>
      <c r="O46" s="281">
        <v>100</v>
      </c>
      <c r="P46" s="281">
        <v>100</v>
      </c>
      <c r="Q46" s="282">
        <f>+O46-P46</f>
        <v>0</v>
      </c>
      <c r="R46" s="283">
        <f>IF(P46=0,"NA",(+O46-P46)/P46)</f>
        <v>0</v>
      </c>
      <c r="S46" s="284"/>
      <c r="T46" s="281">
        <v>0</v>
      </c>
      <c r="U46" s="281">
        <v>58.31</v>
      </c>
      <c r="V46" s="283">
        <f>IF(U46=0,"NA",(+T46-U46)/U46)</f>
        <v>-1</v>
      </c>
      <c r="W46" s="285" t="s">
        <v>174</v>
      </c>
      <c r="X46" s="65" t="s">
        <v>158</v>
      </c>
      <c r="AC46" s="1">
        <f>+$O46</f>
        <v>100</v>
      </c>
      <c r="AG46" s="1">
        <f>+$T46</f>
        <v>0</v>
      </c>
    </row>
    <row r="47" spans="1:34">
      <c r="A47" s="47">
        <v>44</v>
      </c>
      <c r="C47" s="289" t="s">
        <v>24</v>
      </c>
      <c r="D47" s="297"/>
      <c r="E47" s="298"/>
      <c r="F47" s="299"/>
      <c r="G47" s="299"/>
      <c r="H47" s="299"/>
      <c r="I47" s="299"/>
      <c r="J47" s="299"/>
      <c r="K47" s="299"/>
      <c r="L47" s="299"/>
      <c r="M47" s="299"/>
      <c r="N47" s="289"/>
      <c r="O47" s="286">
        <v>200</v>
      </c>
      <c r="P47" s="286">
        <v>200</v>
      </c>
      <c r="Q47" s="287">
        <f>+O47-P47</f>
        <v>0</v>
      </c>
      <c r="R47" s="288">
        <f>IF(P47=0,"NA",(+O47-P47)/P47)</f>
        <v>0</v>
      </c>
      <c r="S47" s="289"/>
      <c r="T47" s="286">
        <v>104.45</v>
      </c>
      <c r="U47" s="286">
        <v>116.69</v>
      </c>
      <c r="V47" s="288">
        <f>IF(U47=0,"NA",(+T47-U47)/U47)</f>
        <v>-0.1048933070528751</v>
      </c>
      <c r="W47" s="290" t="s">
        <v>174</v>
      </c>
      <c r="X47" s="66"/>
      <c r="AC47" s="1">
        <f>+$O47</f>
        <v>200</v>
      </c>
      <c r="AG47" s="1">
        <f>+$T47</f>
        <v>104.45</v>
      </c>
    </row>
    <row r="48" spans="1:34" s="4" customFormat="1">
      <c r="A48" s="47">
        <v>45</v>
      </c>
      <c r="B48" s="22" t="s">
        <v>168</v>
      </c>
      <c r="C48" s="22"/>
      <c r="D48" s="39"/>
      <c r="E48" s="95"/>
      <c r="F48" s="95"/>
      <c r="G48" s="95"/>
      <c r="H48" s="95"/>
      <c r="I48" s="95"/>
      <c r="J48" s="95"/>
      <c r="K48" s="95"/>
      <c r="L48" s="95"/>
      <c r="M48" s="95"/>
      <c r="N48" s="39"/>
      <c r="O48" s="22">
        <f>SUM(O44:O47)</f>
        <v>4300</v>
      </c>
      <c r="P48" s="39">
        <f>SUM(P44:P47)</f>
        <v>5300</v>
      </c>
      <c r="Q48" s="39">
        <f>SUM(Q44:Q47)</f>
        <v>-1000</v>
      </c>
      <c r="R48" s="23">
        <f>IF(P48=0,"NA",(+O48-P48)/P48)</f>
        <v>-0.18867924528301888</v>
      </c>
      <c r="T48" s="39">
        <f>SUM(T44:T47)</f>
        <v>1963.67</v>
      </c>
      <c r="U48" s="39">
        <f>SUM(U44:U47)</f>
        <v>2508.31</v>
      </c>
      <c r="V48" s="23">
        <f>IF(U48=0,"NA",(+T48-U48)/U48)</f>
        <v>-0.21713424576707022</v>
      </c>
      <c r="W48" s="82"/>
      <c r="X48" s="66"/>
    </row>
    <row r="49" spans="1:35" ht="6.75" customHeight="1">
      <c r="A49" s="47">
        <v>46</v>
      </c>
      <c r="D49" s="1"/>
      <c r="E49" s="42"/>
      <c r="R49" s="7"/>
      <c r="W49" s="82"/>
      <c r="X49" s="66"/>
    </row>
    <row r="50" spans="1:35" s="4" customFormat="1" ht="43.5">
      <c r="A50" s="47">
        <v>51</v>
      </c>
      <c r="B50" s="22" t="s">
        <v>25</v>
      </c>
      <c r="C50" s="22"/>
      <c r="D50" s="39"/>
      <c r="E50" s="95"/>
      <c r="F50" s="95"/>
      <c r="G50" s="95"/>
      <c r="H50" s="95"/>
      <c r="I50" s="95"/>
      <c r="J50" s="95"/>
      <c r="K50" s="95"/>
      <c r="L50" s="95"/>
      <c r="M50" s="95"/>
      <c r="N50" s="39"/>
      <c r="O50" s="55">
        <v>12800</v>
      </c>
      <c r="P50" s="55">
        <v>12800</v>
      </c>
      <c r="Q50" s="49">
        <f>+O50-P50</f>
        <v>0</v>
      </c>
      <c r="R50" s="23">
        <f>IF(P50=0,"NA",(+O50-P50)/P50)</f>
        <v>0</v>
      </c>
      <c r="T50" s="55">
        <v>2121.65</v>
      </c>
      <c r="U50" s="55">
        <v>7466.69</v>
      </c>
      <c r="V50" s="23">
        <f>IF(U50=0,"NA",(+T50-U50)/U50)</f>
        <v>-0.71585133439315141</v>
      </c>
      <c r="W50" s="69" t="s">
        <v>232</v>
      </c>
      <c r="X50" s="65"/>
      <c r="AD50" s="1">
        <f>+$O50</f>
        <v>12800</v>
      </c>
      <c r="AH50" s="1">
        <f>+$T50</f>
        <v>2121.65</v>
      </c>
    </row>
    <row r="51" spans="1:35" ht="6.75" customHeight="1">
      <c r="A51" s="47">
        <v>52</v>
      </c>
      <c r="R51" s="7"/>
      <c r="W51" s="82"/>
      <c r="X51" s="66"/>
    </row>
    <row r="52" spans="1:35">
      <c r="A52" s="47">
        <v>53</v>
      </c>
      <c r="B52" s="4" t="s">
        <v>98</v>
      </c>
      <c r="R52" s="7"/>
      <c r="W52" s="82"/>
      <c r="X52" s="66"/>
    </row>
    <row r="53" spans="1:35">
      <c r="A53" s="47">
        <v>54</v>
      </c>
      <c r="C53" s="279" t="s">
        <v>100</v>
      </c>
      <c r="D53" s="291"/>
      <c r="E53" s="292"/>
      <c r="F53" s="293"/>
      <c r="G53" s="293"/>
      <c r="H53" s="293"/>
      <c r="I53" s="293"/>
      <c r="J53" s="293"/>
      <c r="K53" s="293"/>
      <c r="L53" s="293"/>
      <c r="M53" s="293"/>
      <c r="N53" s="279"/>
      <c r="O53" s="276">
        <v>400</v>
      </c>
      <c r="P53" s="276">
        <v>400</v>
      </c>
      <c r="Q53" s="277">
        <f>+O53-P53</f>
        <v>0</v>
      </c>
      <c r="R53" s="278">
        <f>IF(P53=0,"NA",(+O53-P53)/P53)</f>
        <v>0</v>
      </c>
      <c r="S53" s="279"/>
      <c r="T53" s="276">
        <v>91.69</v>
      </c>
      <c r="U53" s="276">
        <v>233.31</v>
      </c>
      <c r="V53" s="278">
        <f>IF(U53=0,"NA",(+T53-U53)/U53)</f>
        <v>-0.60700355749860702</v>
      </c>
      <c r="W53" s="280" t="s">
        <v>270</v>
      </c>
      <c r="X53" s="65"/>
      <c r="AC53" s="1">
        <f>+$O53</f>
        <v>400</v>
      </c>
      <c r="AG53" s="1">
        <f>+$T53</f>
        <v>91.69</v>
      </c>
    </row>
    <row r="54" spans="1:35">
      <c r="A54" s="47">
        <v>55</v>
      </c>
      <c r="C54" s="289" t="s">
        <v>95</v>
      </c>
      <c r="D54" s="297"/>
      <c r="E54" s="298"/>
      <c r="F54" s="299"/>
      <c r="G54" s="299"/>
      <c r="H54" s="299"/>
      <c r="I54" s="299"/>
      <c r="J54" s="299"/>
      <c r="K54" s="299"/>
      <c r="L54" s="299"/>
      <c r="M54" s="299"/>
      <c r="N54" s="289"/>
      <c r="O54" s="286">
        <v>150</v>
      </c>
      <c r="P54" s="286">
        <v>150</v>
      </c>
      <c r="Q54" s="287">
        <f>+O54-P54</f>
        <v>0</v>
      </c>
      <c r="R54" s="288">
        <f>IF(P54=0,"NA",(+O54-P54)/P54)</f>
        <v>0</v>
      </c>
      <c r="S54" s="289"/>
      <c r="T54" s="286">
        <v>188.57</v>
      </c>
      <c r="U54" s="286">
        <v>87.5</v>
      </c>
      <c r="V54" s="288">
        <f>IF(U54=0,"NA",(+T54-U54)/U54)</f>
        <v>1.1550857142857143</v>
      </c>
      <c r="W54" s="290" t="s">
        <v>270</v>
      </c>
      <c r="X54" s="65"/>
      <c r="AC54" s="1">
        <f>+$O54</f>
        <v>150</v>
      </c>
      <c r="AG54" s="1">
        <f>+$T54</f>
        <v>188.57</v>
      </c>
    </row>
    <row r="55" spans="1:35" s="4" customFormat="1" ht="29">
      <c r="A55" s="47">
        <v>56</v>
      </c>
      <c r="B55" s="22" t="s">
        <v>94</v>
      </c>
      <c r="C55" s="22"/>
      <c r="D55" s="39"/>
      <c r="E55" s="95"/>
      <c r="F55" s="95"/>
      <c r="G55" s="95"/>
      <c r="H55" s="95"/>
      <c r="I55" s="95"/>
      <c r="J55" s="95"/>
      <c r="K55" s="95"/>
      <c r="L55" s="95"/>
      <c r="M55" s="95"/>
      <c r="N55" s="39"/>
      <c r="O55" s="22">
        <f>SUM(O53:O54)</f>
        <v>550</v>
      </c>
      <c r="P55" s="39">
        <f>SUM(P53:P54)</f>
        <v>550</v>
      </c>
      <c r="Q55" s="39">
        <f>SUM(Q53:Q54)</f>
        <v>0</v>
      </c>
      <c r="R55" s="23">
        <f>IF(P55=0,"NA",(+O55-P55)/P55)</f>
        <v>0</v>
      </c>
      <c r="T55" s="39">
        <f>SUM(T53:T54)</f>
        <v>280.26</v>
      </c>
      <c r="U55" s="39">
        <f>SUM(U53:U54)</f>
        <v>320.81</v>
      </c>
      <c r="V55" s="23">
        <f>IF(U55=0,"NA",(+T55-U55)/U55)</f>
        <v>-0.12639880302983078</v>
      </c>
      <c r="W55" s="84" t="s">
        <v>305</v>
      </c>
      <c r="X55" s="68"/>
    </row>
    <row r="56" spans="1:35" ht="5.25" customHeight="1">
      <c r="A56" s="47">
        <v>57</v>
      </c>
      <c r="R56" s="7"/>
      <c r="W56" s="82"/>
      <c r="X56" s="66"/>
    </row>
    <row r="57" spans="1:35" ht="43.5">
      <c r="A57" s="47">
        <v>58</v>
      </c>
      <c r="B57" s="22" t="s">
        <v>26</v>
      </c>
      <c r="C57" s="24"/>
      <c r="D57" s="24"/>
      <c r="E57" s="96"/>
      <c r="F57" s="96"/>
      <c r="G57" s="96"/>
      <c r="H57" s="96"/>
      <c r="I57" s="96"/>
      <c r="J57" s="96"/>
      <c r="K57" s="96"/>
      <c r="L57" s="96"/>
      <c r="M57" s="96"/>
      <c r="N57" s="24"/>
      <c r="O57" s="60">
        <v>200</v>
      </c>
      <c r="P57" s="60">
        <v>200</v>
      </c>
      <c r="Q57" s="49">
        <f>+O57-P57</f>
        <v>0</v>
      </c>
      <c r="R57" s="23">
        <f>IF(P57=0,"NA",(+O57-P57)/P57)</f>
        <v>0</v>
      </c>
      <c r="T57" s="60">
        <v>0</v>
      </c>
      <c r="U57" s="60">
        <v>116.69</v>
      </c>
      <c r="V57" s="23">
        <f>IF(U57=0,"NA",(+T57-U57)/U57)</f>
        <v>-1</v>
      </c>
      <c r="W57" s="69" t="s">
        <v>237</v>
      </c>
      <c r="X57" s="65" t="s">
        <v>127</v>
      </c>
      <c r="AE57" s="1">
        <f>+$O57</f>
        <v>200</v>
      </c>
      <c r="AI57" s="1">
        <f>+$T57</f>
        <v>0</v>
      </c>
    </row>
    <row r="58" spans="1:35" ht="6" customHeight="1">
      <c r="A58" s="47">
        <v>59</v>
      </c>
      <c r="R58" s="7"/>
      <c r="W58" s="82"/>
      <c r="X58" s="66"/>
    </row>
    <row r="59" spans="1:35">
      <c r="A59" s="47">
        <v>60</v>
      </c>
      <c r="B59" s="4" t="s">
        <v>27</v>
      </c>
      <c r="R59" s="7"/>
      <c r="W59" s="82"/>
      <c r="X59" s="66"/>
    </row>
    <row r="60" spans="1:35">
      <c r="A60" s="47">
        <v>61</v>
      </c>
      <c r="C60" s="279" t="s">
        <v>28</v>
      </c>
      <c r="D60" s="291"/>
      <c r="E60" s="292"/>
      <c r="F60" s="293"/>
      <c r="G60" s="293"/>
      <c r="H60" s="293"/>
      <c r="I60" s="293"/>
      <c r="J60" s="293"/>
      <c r="K60" s="293"/>
      <c r="L60" s="293"/>
      <c r="M60" s="293"/>
      <c r="N60" s="279"/>
      <c r="O60" s="304">
        <v>200</v>
      </c>
      <c r="P60" s="276">
        <v>200</v>
      </c>
      <c r="Q60" s="277">
        <f t="shared" ref="Q60:Q66" si="10">+O60-P60</f>
        <v>0</v>
      </c>
      <c r="R60" s="278">
        <f t="shared" ref="R60:R67" si="11">IF(P60=0,"NA",(+O60-P60)/P60)</f>
        <v>0</v>
      </c>
      <c r="S60" s="279"/>
      <c r="T60" s="276">
        <v>0</v>
      </c>
      <c r="U60" s="276">
        <v>0</v>
      </c>
      <c r="V60" s="278" t="str">
        <f t="shared" ref="V60:V67" si="12">IF(U60=0,"NA",(+T60-U60)/U60)</f>
        <v>NA</v>
      </c>
      <c r="W60" s="280" t="s">
        <v>270</v>
      </c>
      <c r="X60" s="66"/>
      <c r="AC60" s="1">
        <f>+$O60</f>
        <v>200</v>
      </c>
      <c r="AG60" s="1">
        <f>+$T60</f>
        <v>0</v>
      </c>
    </row>
    <row r="61" spans="1:35" ht="15.5">
      <c r="A61" s="47">
        <v>62</v>
      </c>
      <c r="C61" s="284" t="s">
        <v>29</v>
      </c>
      <c r="D61" s="294"/>
      <c r="E61" s="295"/>
      <c r="F61" s="296"/>
      <c r="G61" s="296"/>
      <c r="H61" s="296"/>
      <c r="I61" s="296"/>
      <c r="J61" s="296"/>
      <c r="K61" s="296"/>
      <c r="L61" s="296"/>
      <c r="M61" s="296"/>
      <c r="N61" s="284"/>
      <c r="O61" s="302">
        <v>800</v>
      </c>
      <c r="P61" s="281">
        <v>800</v>
      </c>
      <c r="Q61" s="282">
        <f t="shared" si="10"/>
        <v>0</v>
      </c>
      <c r="R61" s="283">
        <f t="shared" si="11"/>
        <v>0</v>
      </c>
      <c r="S61" s="284"/>
      <c r="T61" s="281">
        <v>0</v>
      </c>
      <c r="U61" s="281">
        <v>0</v>
      </c>
      <c r="V61" s="283" t="str">
        <f t="shared" si="12"/>
        <v>NA</v>
      </c>
      <c r="W61" s="285"/>
      <c r="X61" s="70" t="s">
        <v>125</v>
      </c>
      <c r="AC61" s="1">
        <f>+$O61</f>
        <v>800</v>
      </c>
      <c r="AG61" s="1">
        <f>+$T61</f>
        <v>0</v>
      </c>
    </row>
    <row r="62" spans="1:35" ht="29">
      <c r="A62" s="47">
        <v>63</v>
      </c>
      <c r="C62" s="284" t="s">
        <v>30</v>
      </c>
      <c r="D62" s="294"/>
      <c r="E62" s="295"/>
      <c r="F62" s="296"/>
      <c r="G62" s="296"/>
      <c r="H62" s="296"/>
      <c r="I62" s="296"/>
      <c r="J62" s="296"/>
      <c r="K62" s="296"/>
      <c r="L62" s="296"/>
      <c r="M62" s="296"/>
      <c r="N62" s="284"/>
      <c r="O62" s="302">
        <v>1000</v>
      </c>
      <c r="P62" s="302">
        <v>1500</v>
      </c>
      <c r="Q62" s="282">
        <f t="shared" si="10"/>
        <v>-500</v>
      </c>
      <c r="R62" s="283">
        <f t="shared" si="11"/>
        <v>-0.33333333333333331</v>
      </c>
      <c r="S62" s="284"/>
      <c r="T62" s="281">
        <v>910</v>
      </c>
      <c r="U62" s="281">
        <v>1000</v>
      </c>
      <c r="V62" s="283">
        <f t="shared" si="12"/>
        <v>-0.09</v>
      </c>
      <c r="W62" s="285" t="s">
        <v>238</v>
      </c>
      <c r="X62" s="71"/>
      <c r="AE62" s="1">
        <f>+$O62</f>
        <v>1000</v>
      </c>
      <c r="AH62" s="1">
        <f t="shared" ref="AG62:AH66" si="13">+$T62</f>
        <v>910</v>
      </c>
    </row>
    <row r="63" spans="1:35">
      <c r="A63" s="47">
        <v>64</v>
      </c>
      <c r="C63" s="284" t="s">
        <v>31</v>
      </c>
      <c r="D63" s="294"/>
      <c r="E63" s="295"/>
      <c r="F63" s="296"/>
      <c r="G63" s="296"/>
      <c r="H63" s="296"/>
      <c r="I63" s="296"/>
      <c r="J63" s="296"/>
      <c r="K63" s="296"/>
      <c r="L63" s="296"/>
      <c r="M63" s="296"/>
      <c r="N63" s="284"/>
      <c r="O63" s="302">
        <v>3000</v>
      </c>
      <c r="P63" s="302">
        <v>3000</v>
      </c>
      <c r="Q63" s="282">
        <f t="shared" si="10"/>
        <v>0</v>
      </c>
      <c r="R63" s="283">
        <f t="shared" si="11"/>
        <v>0</v>
      </c>
      <c r="S63" s="284"/>
      <c r="T63" s="281">
        <v>760.8</v>
      </c>
      <c r="U63" s="281">
        <v>1750</v>
      </c>
      <c r="V63" s="283">
        <f t="shared" si="12"/>
        <v>-0.5652571428571429</v>
      </c>
      <c r="W63" s="285" t="s">
        <v>239</v>
      </c>
      <c r="X63" s="69"/>
      <c r="AE63" s="1">
        <f>+$O63</f>
        <v>3000</v>
      </c>
      <c r="AH63" s="1">
        <f t="shared" si="13"/>
        <v>760.8</v>
      </c>
    </row>
    <row r="64" spans="1:35">
      <c r="C64" s="284" t="s">
        <v>118</v>
      </c>
      <c r="D64" s="294"/>
      <c r="E64" s="295"/>
      <c r="F64" s="296"/>
      <c r="G64" s="296"/>
      <c r="H64" s="296"/>
      <c r="I64" s="296"/>
      <c r="J64" s="296"/>
      <c r="K64" s="296"/>
      <c r="L64" s="296"/>
      <c r="M64" s="296"/>
      <c r="N64" s="284"/>
      <c r="O64" s="302">
        <v>200</v>
      </c>
      <c r="P64" s="302">
        <v>200</v>
      </c>
      <c r="Q64" s="282">
        <f>+O64-P64</f>
        <v>0</v>
      </c>
      <c r="R64" s="283">
        <f>IF(P64=0,"NA",(+O64-P64)/P64)</f>
        <v>0</v>
      </c>
      <c r="S64" s="284"/>
      <c r="T64" s="281">
        <v>0</v>
      </c>
      <c r="U64" s="281">
        <v>116.69</v>
      </c>
      <c r="V64" s="283">
        <f>IF(U64=0,"NA",(+T64-U64)/U64)</f>
        <v>-1</v>
      </c>
      <c r="W64" s="285"/>
      <c r="X64" s="69"/>
      <c r="AC64" s="1">
        <f>+$O64</f>
        <v>200</v>
      </c>
      <c r="AG64" s="1">
        <f t="shared" si="13"/>
        <v>0</v>
      </c>
    </row>
    <row r="65" spans="1:33">
      <c r="C65" s="284" t="s">
        <v>222</v>
      </c>
      <c r="D65" s="294"/>
      <c r="E65" s="295"/>
      <c r="F65" s="296"/>
      <c r="G65" s="296"/>
      <c r="H65" s="296"/>
      <c r="I65" s="296"/>
      <c r="J65" s="296"/>
      <c r="K65" s="296"/>
      <c r="L65" s="296"/>
      <c r="M65" s="296"/>
      <c r="N65" s="284"/>
      <c r="O65" s="302">
        <v>0</v>
      </c>
      <c r="P65" s="302">
        <v>0</v>
      </c>
      <c r="Q65" s="282">
        <f>+O65-P65</f>
        <v>0</v>
      </c>
      <c r="R65" s="283" t="str">
        <f>IF(P65=0,"NA",(+O65-P65)/P65)</f>
        <v>NA</v>
      </c>
      <c r="S65" s="284"/>
      <c r="T65" s="281">
        <v>0</v>
      </c>
      <c r="U65" s="281">
        <v>0</v>
      </c>
      <c r="V65" s="283" t="str">
        <f>IF(U65=0,"NA",(+T65-U65)/U65)</f>
        <v>NA</v>
      </c>
      <c r="W65" s="285" t="s">
        <v>271</v>
      </c>
      <c r="X65" s="69"/>
      <c r="AC65" s="1">
        <f>+$O65</f>
        <v>0</v>
      </c>
      <c r="AG65" s="1">
        <f t="shared" si="13"/>
        <v>0</v>
      </c>
    </row>
    <row r="66" spans="1:33" ht="43.5">
      <c r="A66" s="47">
        <v>65</v>
      </c>
      <c r="C66" s="289" t="s">
        <v>124</v>
      </c>
      <c r="D66" s="297"/>
      <c r="E66" s="298"/>
      <c r="F66" s="299"/>
      <c r="G66" s="299"/>
      <c r="H66" s="299"/>
      <c r="I66" s="299"/>
      <c r="J66" s="299"/>
      <c r="K66" s="299"/>
      <c r="L66" s="299"/>
      <c r="M66" s="299"/>
      <c r="N66" s="289"/>
      <c r="O66" s="303">
        <v>1575</v>
      </c>
      <c r="P66" s="286">
        <v>1000</v>
      </c>
      <c r="Q66" s="287">
        <f t="shared" si="10"/>
        <v>575</v>
      </c>
      <c r="R66" s="288">
        <f t="shared" si="11"/>
        <v>0.57499999999999996</v>
      </c>
      <c r="S66" s="289"/>
      <c r="T66" s="303">
        <v>137.75</v>
      </c>
      <c r="U66" s="303">
        <v>918.75</v>
      </c>
      <c r="V66" s="288">
        <f t="shared" si="12"/>
        <v>-0.85006802721088437</v>
      </c>
      <c r="W66" s="290" t="s">
        <v>240</v>
      </c>
      <c r="X66" s="65" t="s">
        <v>125</v>
      </c>
      <c r="AC66" s="1">
        <f>+$O66</f>
        <v>1575</v>
      </c>
      <c r="AG66" s="1">
        <f t="shared" si="13"/>
        <v>137.75</v>
      </c>
    </row>
    <row r="67" spans="1:33" s="4" customFormat="1">
      <c r="A67" s="47">
        <v>66</v>
      </c>
      <c r="B67" s="22" t="s">
        <v>32</v>
      </c>
      <c r="C67" s="22"/>
      <c r="D67" s="39"/>
      <c r="E67" s="95"/>
      <c r="F67" s="95"/>
      <c r="G67" s="95"/>
      <c r="H67" s="95"/>
      <c r="I67" s="95"/>
      <c r="J67" s="95"/>
      <c r="K67" s="95"/>
      <c r="L67" s="95"/>
      <c r="M67" s="95"/>
      <c r="N67" s="39"/>
      <c r="O67" s="22">
        <f>SUM(O60:O66)</f>
        <v>6775</v>
      </c>
      <c r="P67" s="39">
        <f>SUM(P60:P66)</f>
        <v>6700</v>
      </c>
      <c r="Q67" s="39">
        <f>SUM(Q60:Q66)</f>
        <v>75</v>
      </c>
      <c r="R67" s="23">
        <f t="shared" si="11"/>
        <v>1.1194029850746268E-2</v>
      </c>
      <c r="T67" s="39">
        <f>SUM(T60:T66)</f>
        <v>1808.55</v>
      </c>
      <c r="U67" s="39">
        <f>SUM(U60:U66)</f>
        <v>3785.44</v>
      </c>
      <c r="V67" s="23">
        <f t="shared" si="12"/>
        <v>-0.52223519590853373</v>
      </c>
      <c r="W67" s="84"/>
      <c r="X67" s="68"/>
    </row>
    <row r="68" spans="1:33" ht="6" customHeight="1">
      <c r="A68" s="47">
        <v>67</v>
      </c>
      <c r="R68" s="7"/>
      <c r="W68" s="82"/>
      <c r="X68" s="66"/>
    </row>
    <row r="69" spans="1:33">
      <c r="A69" s="47">
        <v>68</v>
      </c>
      <c r="B69" s="4" t="s">
        <v>33</v>
      </c>
      <c r="R69" s="7"/>
      <c r="W69" s="82"/>
      <c r="X69" s="66"/>
    </row>
    <row r="70" spans="1:33" ht="14.4" customHeight="1">
      <c r="A70" s="47">
        <v>69</v>
      </c>
      <c r="C70" s="279" t="s">
        <v>34</v>
      </c>
      <c r="D70" s="291"/>
      <c r="E70" s="292"/>
      <c r="F70" s="293"/>
      <c r="G70" s="293"/>
      <c r="H70" s="293"/>
      <c r="I70" s="293"/>
      <c r="J70" s="293"/>
      <c r="K70" s="293"/>
      <c r="L70" s="293"/>
      <c r="M70" s="293"/>
      <c r="N70" s="279"/>
      <c r="O70" s="304">
        <v>3500</v>
      </c>
      <c r="P70" s="304">
        <v>3000</v>
      </c>
      <c r="Q70" s="277">
        <f t="shared" ref="Q70:Q75" si="14">+O70-P70</f>
        <v>500</v>
      </c>
      <c r="R70" s="278">
        <f t="shared" ref="R70:R77" si="15">IF(P70=0,"NA",(+O70-P70)/P70)</f>
        <v>0.16666666666666666</v>
      </c>
      <c r="S70" s="279"/>
      <c r="T70" s="276">
        <v>2056.08</v>
      </c>
      <c r="U70" s="276">
        <v>2041.69</v>
      </c>
      <c r="V70" s="278">
        <f t="shared" ref="V70:V77" si="16">IF(U70=0,"NA",(+T70-U70)/U70)</f>
        <v>7.0480827157893078E-3</v>
      </c>
      <c r="W70" s="280" t="s">
        <v>272</v>
      </c>
      <c r="X70" s="69" t="s">
        <v>140</v>
      </c>
      <c r="AC70" s="1">
        <f t="shared" ref="AC70:AC75" si="17">+$O70</f>
        <v>3500</v>
      </c>
      <c r="AG70" s="1">
        <f t="shared" ref="AG70:AG75" si="18">+$T70</f>
        <v>2056.08</v>
      </c>
    </row>
    <row r="71" spans="1:33">
      <c r="A71" s="47">
        <v>70</v>
      </c>
      <c r="C71" s="284" t="s">
        <v>35</v>
      </c>
      <c r="D71" s="294"/>
      <c r="E71" s="295"/>
      <c r="F71" s="296"/>
      <c r="G71" s="296"/>
      <c r="H71" s="296"/>
      <c r="I71" s="296"/>
      <c r="J71" s="296"/>
      <c r="K71" s="296"/>
      <c r="L71" s="296"/>
      <c r="M71" s="296"/>
      <c r="N71" s="284"/>
      <c r="O71" s="281">
        <v>3250</v>
      </c>
      <c r="P71" s="281">
        <v>3250</v>
      </c>
      <c r="Q71" s="282">
        <f t="shared" si="14"/>
        <v>0</v>
      </c>
      <c r="R71" s="283">
        <f t="shared" si="15"/>
        <v>0</v>
      </c>
      <c r="S71" s="284"/>
      <c r="T71" s="281">
        <v>846.22</v>
      </c>
      <c r="U71" s="281">
        <v>1895.81</v>
      </c>
      <c r="V71" s="283">
        <f t="shared" si="16"/>
        <v>-0.55363670410009436</v>
      </c>
      <c r="W71" s="285"/>
      <c r="X71" s="69" t="s">
        <v>126</v>
      </c>
      <c r="AC71" s="1">
        <f t="shared" si="17"/>
        <v>3250</v>
      </c>
      <c r="AG71" s="1">
        <f t="shared" si="18"/>
        <v>846.22</v>
      </c>
    </row>
    <row r="72" spans="1:33" ht="14.5" customHeight="1">
      <c r="A72" s="47">
        <v>73</v>
      </c>
      <c r="C72" s="284" t="s">
        <v>36</v>
      </c>
      <c r="D72" s="294"/>
      <c r="E72" s="295"/>
      <c r="F72" s="296"/>
      <c r="G72" s="296"/>
      <c r="H72" s="296"/>
      <c r="I72" s="296"/>
      <c r="J72" s="296"/>
      <c r="K72" s="296"/>
      <c r="L72" s="296"/>
      <c r="M72" s="296"/>
      <c r="N72" s="284"/>
      <c r="O72" s="302">
        <v>13000</v>
      </c>
      <c r="P72" s="302">
        <v>13000</v>
      </c>
      <c r="Q72" s="282">
        <f t="shared" si="14"/>
        <v>0</v>
      </c>
      <c r="R72" s="283">
        <f t="shared" si="15"/>
        <v>0</v>
      </c>
      <c r="S72" s="284"/>
      <c r="T72" s="281">
        <v>8878.5400000000009</v>
      </c>
      <c r="U72" s="281">
        <v>7583.31</v>
      </c>
      <c r="V72" s="283">
        <f t="shared" si="16"/>
        <v>0.17080008597828658</v>
      </c>
      <c r="W72" s="285" t="s">
        <v>306</v>
      </c>
      <c r="X72" s="69" t="s">
        <v>151</v>
      </c>
      <c r="AC72" s="1">
        <f t="shared" si="17"/>
        <v>13000</v>
      </c>
      <c r="AG72" s="1">
        <f t="shared" si="18"/>
        <v>8878.5400000000009</v>
      </c>
    </row>
    <row r="73" spans="1:33" ht="31.5" customHeight="1">
      <c r="A73" s="47">
        <v>74</v>
      </c>
      <c r="C73" s="284" t="s">
        <v>37</v>
      </c>
      <c r="D73" s="294"/>
      <c r="E73" s="295"/>
      <c r="F73" s="296"/>
      <c r="G73" s="296"/>
      <c r="H73" s="296"/>
      <c r="I73" s="296"/>
      <c r="J73" s="296"/>
      <c r="K73" s="296"/>
      <c r="L73" s="296"/>
      <c r="M73" s="296"/>
      <c r="N73" s="284"/>
      <c r="O73" s="302">
        <v>1000</v>
      </c>
      <c r="P73" s="281">
        <v>700</v>
      </c>
      <c r="Q73" s="282">
        <f t="shared" si="14"/>
        <v>300</v>
      </c>
      <c r="R73" s="283">
        <f t="shared" si="15"/>
        <v>0.42857142857142855</v>
      </c>
      <c r="S73" s="284"/>
      <c r="T73" s="281">
        <v>895.7</v>
      </c>
      <c r="U73" s="281">
        <v>583.30999999999995</v>
      </c>
      <c r="V73" s="283">
        <f t="shared" si="16"/>
        <v>0.53554713617116134</v>
      </c>
      <c r="W73" s="285" t="s">
        <v>307</v>
      </c>
      <c r="X73" s="66"/>
      <c r="AC73" s="1">
        <f t="shared" si="17"/>
        <v>1000</v>
      </c>
      <c r="AG73" s="1">
        <f t="shared" si="18"/>
        <v>895.7</v>
      </c>
    </row>
    <row r="74" spans="1:33" ht="44" thickBot="1">
      <c r="A74" s="47">
        <v>75</v>
      </c>
      <c r="C74" s="289" t="s">
        <v>38</v>
      </c>
      <c r="D74" s="297"/>
      <c r="E74" s="540" t="s">
        <v>185</v>
      </c>
      <c r="F74" s="541"/>
      <c r="G74" s="541"/>
      <c r="H74" s="541"/>
      <c r="I74" s="541"/>
      <c r="J74" s="541"/>
      <c r="K74" s="541"/>
      <c r="L74" s="541"/>
      <c r="M74" s="542"/>
      <c r="N74" s="289"/>
      <c r="O74" s="303">
        <v>1700</v>
      </c>
      <c r="P74" s="303">
        <v>1000</v>
      </c>
      <c r="Q74" s="287">
        <f t="shared" si="14"/>
        <v>700</v>
      </c>
      <c r="R74" s="288">
        <f t="shared" si="15"/>
        <v>0.7</v>
      </c>
      <c r="S74" s="289"/>
      <c r="T74" s="286">
        <v>1036.26</v>
      </c>
      <c r="U74" s="286">
        <v>991.69</v>
      </c>
      <c r="V74" s="288">
        <f t="shared" si="16"/>
        <v>4.4943480321471364E-2</v>
      </c>
      <c r="W74" s="290" t="s">
        <v>312</v>
      </c>
      <c r="X74" s="69" t="s">
        <v>141</v>
      </c>
      <c r="AC74" s="1">
        <f t="shared" si="17"/>
        <v>1700</v>
      </c>
      <c r="AG74" s="1">
        <f t="shared" si="18"/>
        <v>1036.26</v>
      </c>
    </row>
    <row r="75" spans="1:33" ht="14.5" customHeight="1" thickBot="1">
      <c r="A75" s="47">
        <v>73</v>
      </c>
      <c r="C75" s="284" t="s">
        <v>425</v>
      </c>
      <c r="D75" s="294"/>
      <c r="E75" s="295"/>
      <c r="F75" s="296"/>
      <c r="G75" s="296"/>
      <c r="H75" s="296"/>
      <c r="I75" s="296"/>
      <c r="J75" s="296"/>
      <c r="K75" s="296"/>
      <c r="L75" s="296"/>
      <c r="M75" s="296"/>
      <c r="N75" s="284"/>
      <c r="O75" s="302">
        <v>0</v>
      </c>
      <c r="P75" s="302">
        <v>0</v>
      </c>
      <c r="Q75" s="282">
        <f t="shared" si="14"/>
        <v>0</v>
      </c>
      <c r="R75" s="283" t="str">
        <f>IF(P75=0,"NA",(+O75-P75)/P75)</f>
        <v>NA</v>
      </c>
      <c r="S75" s="284"/>
      <c r="T75" s="281">
        <v>537.5</v>
      </c>
      <c r="U75" s="281">
        <v>0</v>
      </c>
      <c r="V75" s="283" t="str">
        <f>IF(U75=0,"NA",(+T75-U75)/U75)</f>
        <v>NA</v>
      </c>
      <c r="W75" s="285" t="s">
        <v>424</v>
      </c>
      <c r="X75" s="69" t="s">
        <v>151</v>
      </c>
      <c r="AC75" s="1">
        <f t="shared" si="17"/>
        <v>0</v>
      </c>
      <c r="AG75" s="1">
        <f t="shared" si="18"/>
        <v>537.5</v>
      </c>
    </row>
    <row r="76" spans="1:33" s="4" customFormat="1">
      <c r="A76" s="47">
        <v>76</v>
      </c>
      <c r="B76" s="22" t="s">
        <v>40</v>
      </c>
      <c r="C76" s="22"/>
      <c r="D76" s="39"/>
      <c r="E76" s="538">
        <f>Bud_Yr</f>
        <v>2019</v>
      </c>
      <c r="F76" s="539"/>
      <c r="G76" s="539"/>
      <c r="H76" s="539"/>
      <c r="I76" s="539">
        <f>Bud_Yr-1</f>
        <v>2018</v>
      </c>
      <c r="J76" s="539"/>
      <c r="K76" s="539"/>
      <c r="L76" s="539"/>
      <c r="M76" s="105">
        <f>Bud_Yr-2</f>
        <v>2017</v>
      </c>
      <c r="N76" s="39"/>
      <c r="O76" s="22">
        <f>SUM(O70:O75)</f>
        <v>22450</v>
      </c>
      <c r="P76" s="39">
        <f>SUM(P70:P75)</f>
        <v>20950</v>
      </c>
      <c r="Q76" s="39">
        <f>SUM(Q70:Q75)</f>
        <v>1500</v>
      </c>
      <c r="R76" s="23">
        <f t="shared" si="15"/>
        <v>7.1599045346062054E-2</v>
      </c>
      <c r="T76" s="39">
        <f>SUM(T70:T75)</f>
        <v>14250.300000000001</v>
      </c>
      <c r="U76" s="39">
        <f>SUM(U70:U75)</f>
        <v>13095.810000000001</v>
      </c>
      <c r="V76" s="23">
        <f t="shared" si="16"/>
        <v>8.8157204479906146E-2</v>
      </c>
      <c r="W76" s="109"/>
      <c r="X76" s="68"/>
    </row>
    <row r="77" spans="1:33" ht="15" thickBot="1">
      <c r="A77" s="47">
        <v>77</v>
      </c>
      <c r="B77" s="22" t="s">
        <v>93</v>
      </c>
      <c r="C77" s="25"/>
      <c r="D77" s="25"/>
      <c r="E77" s="106" t="s">
        <v>183</v>
      </c>
      <c r="F77" s="107" t="s">
        <v>184</v>
      </c>
      <c r="G77" s="107" t="s">
        <v>187</v>
      </c>
      <c r="H77" s="107" t="s">
        <v>182</v>
      </c>
      <c r="I77" s="107" t="s">
        <v>183</v>
      </c>
      <c r="J77" s="107" t="s">
        <v>184</v>
      </c>
      <c r="K77" s="107" t="s">
        <v>187</v>
      </c>
      <c r="L77" s="107" t="s">
        <v>182</v>
      </c>
      <c r="M77" s="108" t="s">
        <v>184</v>
      </c>
      <c r="N77" s="25"/>
      <c r="O77" s="22">
        <f>+O41+O48+O50+O57+O67+O76+O55</f>
        <v>52525</v>
      </c>
      <c r="P77" s="39">
        <f>+P41+P48+P50+P57+P67+P76+P55</f>
        <v>51350</v>
      </c>
      <c r="Q77" s="39">
        <f>+Q41+Q48+Q50+Q57+Q67+Q76+Q55</f>
        <v>1175</v>
      </c>
      <c r="R77" s="23">
        <f t="shared" si="15"/>
        <v>2.2882181110029213E-2</v>
      </c>
      <c r="T77" s="39">
        <f>+T41+T48+T50+T57+T67+T76+T55</f>
        <v>21478.61</v>
      </c>
      <c r="U77" s="39">
        <f>+U41+U48+U50+U57+U67+U76+U55</f>
        <v>30334.940000000002</v>
      </c>
      <c r="V77" s="23">
        <f t="shared" si="16"/>
        <v>-0.29195145927435495</v>
      </c>
      <c r="W77" s="82"/>
      <c r="X77" s="66"/>
    </row>
    <row r="78" spans="1:33" ht="8.25" customHeight="1">
      <c r="A78" s="47">
        <v>78</v>
      </c>
      <c r="R78" s="7"/>
      <c r="W78" s="82"/>
      <c r="X78" s="66"/>
    </row>
    <row r="79" spans="1:33" ht="30" customHeight="1">
      <c r="A79" s="47">
        <v>79</v>
      </c>
      <c r="B79" s="9" t="s">
        <v>39</v>
      </c>
      <c r="F79" s="97">
        <v>0.02</v>
      </c>
      <c r="G79" s="543" t="s">
        <v>107</v>
      </c>
      <c r="H79" s="543"/>
      <c r="K79" s="88" t="s">
        <v>210</v>
      </c>
      <c r="L79" s="97">
        <v>1.4E-2</v>
      </c>
      <c r="N79" s="524" t="s">
        <v>103</v>
      </c>
      <c r="R79" s="7"/>
      <c r="W79" s="82"/>
      <c r="X79" s="66"/>
    </row>
    <row r="80" spans="1:33" ht="15" customHeight="1">
      <c r="A80" s="47">
        <v>80</v>
      </c>
      <c r="B80" s="4" t="s">
        <v>170</v>
      </c>
      <c r="D80" s="57" t="s">
        <v>302</v>
      </c>
      <c r="F80" s="97">
        <v>0.02</v>
      </c>
      <c r="G80" s="543" t="s">
        <v>108</v>
      </c>
      <c r="H80" s="543"/>
      <c r="K80" s="88"/>
      <c r="N80" s="524"/>
      <c r="Q80" s="135"/>
      <c r="R80" s="7"/>
      <c r="T80" s="136"/>
      <c r="U80" s="37"/>
      <c r="W80" s="69" t="s">
        <v>241</v>
      </c>
      <c r="X80" s="65"/>
    </row>
    <row r="81" spans="1:35" ht="14.5" customHeight="1">
      <c r="A81" s="47">
        <v>81</v>
      </c>
      <c r="C81" s="279" t="s">
        <v>212</v>
      </c>
      <c r="D81" s="291"/>
      <c r="E81" s="292"/>
      <c r="F81" s="305"/>
      <c r="G81" s="466" t="s">
        <v>397</v>
      </c>
      <c r="H81" s="306"/>
      <c r="I81" s="307"/>
      <c r="J81" s="292"/>
      <c r="K81" s="307"/>
      <c r="L81" s="308"/>
      <c r="M81" s="309"/>
      <c r="N81" s="291"/>
      <c r="O81" s="310">
        <f>+'Pastor Detail'!G14</f>
        <v>72737</v>
      </c>
      <c r="P81" s="310">
        <f>+'Pastor Detail'!D10</f>
        <v>65896.916666666672</v>
      </c>
      <c r="Q81" s="277">
        <f t="shared" ref="Q81:Q90" si="19">+O81-P81</f>
        <v>6840.0833333333285</v>
      </c>
      <c r="R81" s="278">
        <f t="shared" ref="R81:R91" si="20">IF(P81=0,"NA",(+O81-P81)/P81)</f>
        <v>0.10379974783847996</v>
      </c>
      <c r="S81" s="279"/>
      <c r="T81" s="276">
        <f>29596.7+12833.38</f>
        <v>42430.080000000002</v>
      </c>
      <c r="U81" s="276">
        <f>29596.56+12833.31</f>
        <v>42429.87</v>
      </c>
      <c r="V81" s="278">
        <f t="shared" ref="V81:V91" si="21">IF(U81=0,"NA",(+T81-U81)/U81)</f>
        <v>4.9493434695681806E-6</v>
      </c>
      <c r="W81" s="280"/>
      <c r="X81" s="69" t="s">
        <v>142</v>
      </c>
    </row>
    <row r="82" spans="1:35">
      <c r="A82" s="47">
        <v>82</v>
      </c>
      <c r="C82" s="284" t="s">
        <v>41</v>
      </c>
      <c r="D82" s="294"/>
      <c r="E82" s="295"/>
      <c r="F82" s="311" t="s">
        <v>398</v>
      </c>
      <c r="G82" s="312">
        <f>+('Pastor Detail'!G10+O104+O135+O142)-('Pastor Detail'!G6+P104+P135+P142)</f>
        <v>2178</v>
      </c>
      <c r="H82" s="313" t="s">
        <v>309</v>
      </c>
      <c r="I82" s="314"/>
      <c r="J82" s="295"/>
      <c r="K82" s="315"/>
      <c r="L82" s="295"/>
      <c r="M82" s="316"/>
      <c r="N82" s="317"/>
      <c r="O82" s="318">
        <f>+'Pastor Detail'!G50</f>
        <v>1500</v>
      </c>
      <c r="P82" s="302">
        <v>1500</v>
      </c>
      <c r="Q82" s="282">
        <f t="shared" si="19"/>
        <v>0</v>
      </c>
      <c r="R82" s="283">
        <f t="shared" si="20"/>
        <v>0</v>
      </c>
      <c r="S82" s="284"/>
      <c r="T82" s="281">
        <v>381.54</v>
      </c>
      <c r="U82" s="281">
        <v>875</v>
      </c>
      <c r="V82" s="283">
        <f t="shared" si="21"/>
        <v>-0.56395428571428574</v>
      </c>
      <c r="W82" s="285" t="s">
        <v>200</v>
      </c>
      <c r="X82" s="69"/>
    </row>
    <row r="83" spans="1:35" ht="14.5" customHeight="1">
      <c r="C83" s="284" t="s">
        <v>111</v>
      </c>
      <c r="D83" s="294"/>
      <c r="E83" s="295"/>
      <c r="F83" s="311" t="s">
        <v>399</v>
      </c>
      <c r="G83" s="312">
        <f>(+O119+O125+O126+O128)-(P119+P125+P126+P128)</f>
        <v>548</v>
      </c>
      <c r="H83" s="295"/>
      <c r="I83" s="295"/>
      <c r="J83" s="313"/>
      <c r="K83" s="295"/>
      <c r="L83" s="295"/>
      <c r="M83" s="295"/>
      <c r="N83" s="317"/>
      <c r="O83" s="318">
        <f>+'Pastor Detail'!G17</f>
        <v>5564.3805000000002</v>
      </c>
      <c r="P83" s="302">
        <v>0</v>
      </c>
      <c r="Q83" s="282">
        <f t="shared" si="19"/>
        <v>5564.3805000000002</v>
      </c>
      <c r="R83" s="283" t="str">
        <f>IF(P83=0,"NA",(+O83-P83)/P83)</f>
        <v>NA</v>
      </c>
      <c r="S83" s="284"/>
      <c r="T83" s="281">
        <v>3245.76</v>
      </c>
      <c r="U83" s="281">
        <v>3245.69</v>
      </c>
      <c r="V83" s="283">
        <f>IF(U83=0,"NA",(+T83-U83)/U83)</f>
        <v>2.1567062781770195E-5</v>
      </c>
      <c r="W83" s="285" t="s">
        <v>300</v>
      </c>
      <c r="X83" s="69"/>
    </row>
    <row r="84" spans="1:35" ht="43.5">
      <c r="C84" s="544" t="s">
        <v>209</v>
      </c>
      <c r="D84" s="544"/>
      <c r="E84" s="319"/>
      <c r="F84" s="320" t="s">
        <v>294</v>
      </c>
      <c r="G84" s="321">
        <f>+G82+G83</f>
        <v>2726</v>
      </c>
      <c r="H84" s="322"/>
      <c r="I84" s="318"/>
      <c r="J84" s="323"/>
      <c r="K84" s="295"/>
      <c r="L84" s="552"/>
      <c r="M84" s="552"/>
      <c r="N84" s="552"/>
      <c r="O84" s="302">
        <v>0</v>
      </c>
      <c r="P84" s="318">
        <f>+'Pastor Detail'!D34</f>
        <v>8015</v>
      </c>
      <c r="Q84" s="282">
        <f>+O84-P84</f>
        <v>-8015</v>
      </c>
      <c r="R84" s="283">
        <f>IF(P84=0,"NA",(+O84-P84)/P84)</f>
        <v>-1</v>
      </c>
      <c r="S84" s="284"/>
      <c r="T84" s="281">
        <v>0</v>
      </c>
      <c r="U84" s="281">
        <v>0</v>
      </c>
      <c r="V84" s="283" t="str">
        <f>IF(U84=0,"NA",(+T84-U84)/U84)</f>
        <v>NA</v>
      </c>
      <c r="W84" s="285" t="s">
        <v>273</v>
      </c>
      <c r="X84" s="69"/>
    </row>
    <row r="85" spans="1:35" ht="14" customHeight="1">
      <c r="C85" s="284" t="s">
        <v>202</v>
      </c>
      <c r="D85" s="294"/>
      <c r="E85" s="295"/>
      <c r="F85" s="323"/>
      <c r="G85" s="295"/>
      <c r="H85" s="324"/>
      <c r="I85" s="295"/>
      <c r="J85" s="295"/>
      <c r="K85" s="295"/>
      <c r="L85" s="295"/>
      <c r="M85" s="295"/>
      <c r="N85" s="325"/>
      <c r="O85" s="318">
        <f>+'Pastor Detail'!G35</f>
        <v>16110</v>
      </c>
      <c r="P85" s="318">
        <f>+'Pastor Detail'!D33</f>
        <v>8752.2796120833355</v>
      </c>
      <c r="Q85" s="282">
        <f>+O85-P85</f>
        <v>7357.7203879166645</v>
      </c>
      <c r="R85" s="283">
        <f>IF(P85=0,"NA",(+O85-P85)/P85)</f>
        <v>0.84066331447622489</v>
      </c>
      <c r="S85" s="284"/>
      <c r="T85" s="281">
        <v>8998.08</v>
      </c>
      <c r="U85" s="302">
        <v>9397.5</v>
      </c>
      <c r="V85" s="283">
        <f>IF(U85=0,"NA",(+T85-U85)/U85)</f>
        <v>-4.2502793296089393E-2</v>
      </c>
      <c r="W85" s="285" t="s">
        <v>291</v>
      </c>
      <c r="X85" s="73" t="s">
        <v>160</v>
      </c>
    </row>
    <row r="86" spans="1:35" ht="14.4" customHeight="1">
      <c r="C86" s="284" t="s">
        <v>204</v>
      </c>
      <c r="D86" s="294"/>
      <c r="E86" s="295"/>
      <c r="F86" s="295"/>
      <c r="G86" s="295"/>
      <c r="H86" s="326"/>
      <c r="I86" s="295"/>
      <c r="J86" s="295"/>
      <c r="K86" s="295"/>
      <c r="L86" s="295"/>
      <c r="M86" s="295"/>
      <c r="N86" s="327"/>
      <c r="O86" s="318">
        <v>0</v>
      </c>
      <c r="P86" s="302">
        <v>0</v>
      </c>
      <c r="Q86" s="282">
        <f>+O86-P86</f>
        <v>0</v>
      </c>
      <c r="R86" s="283" t="str">
        <f>IF(P86=0,"NA",(+O86-P86)/P86)</f>
        <v>NA</v>
      </c>
      <c r="S86" s="284"/>
      <c r="T86" s="281">
        <v>0</v>
      </c>
      <c r="U86" s="302">
        <v>0</v>
      </c>
      <c r="V86" s="283" t="str">
        <f>IF(U86=0,"NA",(+T86-U86)/U86)</f>
        <v>NA</v>
      </c>
      <c r="W86" s="328" t="s">
        <v>208</v>
      </c>
      <c r="X86" s="73" t="s">
        <v>160</v>
      </c>
    </row>
    <row r="87" spans="1:35" ht="14.4" customHeight="1">
      <c r="A87" s="47">
        <v>83</v>
      </c>
      <c r="C87" s="284" t="s">
        <v>203</v>
      </c>
      <c r="D87" s="294"/>
      <c r="E87" s="316"/>
      <c r="F87" s="326"/>
      <c r="G87" s="316"/>
      <c r="H87" s="326"/>
      <c r="I87" s="316"/>
      <c r="J87" s="326"/>
      <c r="K87" s="329"/>
      <c r="L87" s="295"/>
      <c r="M87" s="295"/>
      <c r="N87" s="325"/>
      <c r="O87" s="318">
        <f>+'Pastor Detail'!G47</f>
        <v>2662</v>
      </c>
      <c r="P87" s="318">
        <f>+'Pastor Detail'!D47</f>
        <v>3183.6471316666675</v>
      </c>
      <c r="Q87" s="282">
        <f t="shared" si="19"/>
        <v>-521.64713166666752</v>
      </c>
      <c r="R87" s="283">
        <f t="shared" si="20"/>
        <v>-0.16385205711965339</v>
      </c>
      <c r="S87" s="284"/>
      <c r="T87" s="281">
        <v>1553.02</v>
      </c>
      <c r="U87" s="302">
        <v>1552.81</v>
      </c>
      <c r="V87" s="283">
        <f t="shared" si="21"/>
        <v>1.352386962989911E-4</v>
      </c>
      <c r="W87" s="328" t="s">
        <v>211</v>
      </c>
      <c r="X87" s="73" t="s">
        <v>160</v>
      </c>
    </row>
    <row r="88" spans="1:35">
      <c r="C88" s="284" t="s">
        <v>113</v>
      </c>
      <c r="D88" s="294"/>
      <c r="E88" s="295"/>
      <c r="F88" s="295"/>
      <c r="G88" s="295"/>
      <c r="H88" s="295"/>
      <c r="I88" s="295"/>
      <c r="J88" s="295"/>
      <c r="K88" s="295"/>
      <c r="L88" s="295"/>
      <c r="M88" s="295"/>
      <c r="N88" s="325"/>
      <c r="O88" s="318">
        <f>+'Pastor Detail'!G52</f>
        <v>600</v>
      </c>
      <c r="P88" s="302">
        <f>+(600)</f>
        <v>600</v>
      </c>
      <c r="Q88" s="282">
        <f t="shared" si="19"/>
        <v>0</v>
      </c>
      <c r="R88" s="283">
        <f>IF(P88=0,"NA",(+O88-P88)/P88)</f>
        <v>0</v>
      </c>
      <c r="S88" s="284"/>
      <c r="T88" s="281">
        <v>263.11</v>
      </c>
      <c r="U88" s="281">
        <v>350</v>
      </c>
      <c r="V88" s="283">
        <f>IF(U88=0,"NA",(+T88-U88)/U88)</f>
        <v>-0.24825714285714282</v>
      </c>
      <c r="W88" s="285" t="s">
        <v>201</v>
      </c>
      <c r="X88" s="69"/>
    </row>
    <row r="89" spans="1:35">
      <c r="C89" s="284" t="s">
        <v>287</v>
      </c>
      <c r="D89" s="294"/>
      <c r="E89" s="295"/>
      <c r="F89" s="296"/>
      <c r="G89" s="296"/>
      <c r="H89" s="296"/>
      <c r="I89" s="296"/>
      <c r="J89" s="296"/>
      <c r="K89" s="296"/>
      <c r="L89" s="296"/>
      <c r="M89" s="296"/>
      <c r="N89" s="330"/>
      <c r="O89" s="318">
        <f>+'Pastor Detail'!G53</f>
        <v>480</v>
      </c>
      <c r="P89" s="302">
        <v>0</v>
      </c>
      <c r="Q89" s="282">
        <f>+O89-P89</f>
        <v>480</v>
      </c>
      <c r="R89" s="283" t="str">
        <f>IF(P89=0,"NA",(+O89-P89)/P89)</f>
        <v>NA</v>
      </c>
      <c r="S89" s="284"/>
      <c r="T89" s="281">
        <v>240</v>
      </c>
      <c r="U89" s="281">
        <v>240</v>
      </c>
      <c r="V89" s="283">
        <f>IF(U89=0,"NA",(+T89-U89)/U89)</f>
        <v>0</v>
      </c>
      <c r="W89" s="285" t="s">
        <v>303</v>
      </c>
      <c r="X89" s="69"/>
    </row>
    <row r="90" spans="1:35" ht="29">
      <c r="A90" s="47">
        <v>85</v>
      </c>
      <c r="C90" s="289" t="s">
        <v>44</v>
      </c>
      <c r="D90" s="297"/>
      <c r="E90" s="298"/>
      <c r="F90" s="299"/>
      <c r="G90" s="299"/>
      <c r="H90" s="299"/>
      <c r="I90" s="299"/>
      <c r="J90" s="299"/>
      <c r="K90" s="299"/>
      <c r="L90" s="299"/>
      <c r="M90" s="299"/>
      <c r="N90" s="331"/>
      <c r="O90" s="332">
        <f>+'Pastor Detail'!G51</f>
        <v>1000</v>
      </c>
      <c r="P90" s="303">
        <v>1000</v>
      </c>
      <c r="Q90" s="287">
        <f t="shared" si="19"/>
        <v>0</v>
      </c>
      <c r="R90" s="288">
        <f t="shared" si="20"/>
        <v>0</v>
      </c>
      <c r="S90" s="289"/>
      <c r="T90" s="286">
        <v>310</v>
      </c>
      <c r="U90" s="286">
        <v>583.30999999999995</v>
      </c>
      <c r="V90" s="288">
        <f t="shared" si="21"/>
        <v>-0.46855017057825166</v>
      </c>
      <c r="W90" s="290" t="s">
        <v>290</v>
      </c>
      <c r="X90" s="69"/>
      <c r="AC90" s="510">
        <v>0.4</v>
      </c>
      <c r="AD90" s="510">
        <v>0.2</v>
      </c>
      <c r="AE90" s="510">
        <v>0.4</v>
      </c>
      <c r="AG90" s="37">
        <f>+AC90</f>
        <v>0.4</v>
      </c>
      <c r="AH90" s="37">
        <f>+AD90</f>
        <v>0.2</v>
      </c>
      <c r="AI90" s="37">
        <f>+AE90</f>
        <v>0.4</v>
      </c>
    </row>
    <row r="91" spans="1:35" s="4" customFormat="1">
      <c r="A91" s="47">
        <v>86</v>
      </c>
      <c r="B91" s="26" t="s">
        <v>171</v>
      </c>
      <c r="C91" s="26"/>
      <c r="D91" s="26"/>
      <c r="E91" s="98"/>
      <c r="F91" s="98"/>
      <c r="G91" s="98"/>
      <c r="H91" s="98"/>
      <c r="I91" s="98"/>
      <c r="J91" s="98"/>
      <c r="K91" s="98"/>
      <c r="L91" s="98"/>
      <c r="M91" s="98"/>
      <c r="N91" s="26"/>
      <c r="O91" s="26">
        <f>SUM(O81:O90)</f>
        <v>100653.3805</v>
      </c>
      <c r="P91" s="26">
        <f>SUM(P81:P90)</f>
        <v>88947.843410416681</v>
      </c>
      <c r="Q91" s="26">
        <f>SUM(Q81:Q90)</f>
        <v>11705.537089583326</v>
      </c>
      <c r="R91" s="27">
        <f t="shared" si="20"/>
        <v>0.13160001008200367</v>
      </c>
      <c r="T91" s="26">
        <f>SUM(T81:T90)</f>
        <v>57421.590000000004</v>
      </c>
      <c r="U91" s="26">
        <f>SUM(U81:U90)</f>
        <v>58674.18</v>
      </c>
      <c r="V91" s="27">
        <f t="shared" si="21"/>
        <v>-2.1348231879848963E-2</v>
      </c>
      <c r="W91" s="84"/>
      <c r="X91" s="68"/>
      <c r="AC91" s="4">
        <f>+O91*AC90</f>
        <v>40261.352200000001</v>
      </c>
      <c r="AD91" s="4">
        <f>+O91*AD90</f>
        <v>20130.676100000001</v>
      </c>
      <c r="AE91" s="4">
        <f>+O91*AE90</f>
        <v>40261.352200000001</v>
      </c>
      <c r="AG91" s="4">
        <f>+T91*AG90</f>
        <v>22968.636000000002</v>
      </c>
      <c r="AH91" s="4">
        <f>+T91*AH90</f>
        <v>11484.318000000001</v>
      </c>
      <c r="AI91" s="4">
        <f>+T91*AI90</f>
        <v>22968.636000000002</v>
      </c>
    </row>
    <row r="92" spans="1:35" ht="6.75" customHeight="1">
      <c r="A92" s="47">
        <v>87</v>
      </c>
      <c r="R92" s="7"/>
      <c r="W92" s="82"/>
      <c r="X92" s="66"/>
    </row>
    <row r="93" spans="1:35">
      <c r="A93" s="47">
        <v>88</v>
      </c>
      <c r="B93" s="4" t="s">
        <v>233</v>
      </c>
      <c r="O93" s="42"/>
      <c r="R93" s="7"/>
      <c r="W93" s="82"/>
      <c r="X93" s="66"/>
    </row>
    <row r="94" spans="1:35">
      <c r="A94" s="47">
        <v>89</v>
      </c>
      <c r="C94" s="279" t="s">
        <v>45</v>
      </c>
      <c r="D94" s="291"/>
      <c r="E94" s="292"/>
      <c r="F94" s="293"/>
      <c r="G94" s="293"/>
      <c r="H94" s="333"/>
      <c r="I94" s="334"/>
      <c r="J94" s="334"/>
      <c r="K94" s="333"/>
      <c r="L94" s="333"/>
      <c r="M94" s="334"/>
      <c r="N94" s="279"/>
      <c r="O94" s="304">
        <v>45000</v>
      </c>
      <c r="P94" s="276">
        <v>0</v>
      </c>
      <c r="Q94" s="277">
        <f t="shared" ref="Q94:Q99" si="22">+O94-P94</f>
        <v>45000</v>
      </c>
      <c r="R94" s="278" t="str">
        <f t="shared" ref="R94:R100" si="23">IF(P94=0,"NA",(+O94-P94)/P94)</f>
        <v>NA</v>
      </c>
      <c r="S94" s="279"/>
      <c r="T94" s="276">
        <v>26250</v>
      </c>
      <c r="U94" s="276">
        <v>26250</v>
      </c>
      <c r="V94" s="278">
        <f t="shared" ref="V94:V100" si="24">IF(U94=0,"NA",(+T94-U94)/U94)</f>
        <v>0</v>
      </c>
      <c r="W94" s="280"/>
      <c r="X94" s="65" t="s">
        <v>143</v>
      </c>
    </row>
    <row r="95" spans="1:35">
      <c r="C95" s="284" t="s">
        <v>44</v>
      </c>
      <c r="D95" s="294"/>
      <c r="E95" s="295"/>
      <c r="F95" s="296"/>
      <c r="G95" s="296"/>
      <c r="H95" s="335"/>
      <c r="I95" s="335"/>
      <c r="J95" s="335"/>
      <c r="K95" s="335"/>
      <c r="L95" s="335"/>
      <c r="M95" s="335"/>
      <c r="N95" s="284"/>
      <c r="O95" s="302">
        <v>750</v>
      </c>
      <c r="P95" s="281">
        <v>0</v>
      </c>
      <c r="Q95" s="282">
        <f t="shared" si="22"/>
        <v>750</v>
      </c>
      <c r="R95" s="283" t="str">
        <f>IF(P95=0,"NA",(+O95-P95)/P95)</f>
        <v>NA</v>
      </c>
      <c r="S95" s="284"/>
      <c r="T95" s="281">
        <v>510</v>
      </c>
      <c r="U95" s="281">
        <v>437.5</v>
      </c>
      <c r="V95" s="283">
        <f t="shared" si="24"/>
        <v>0.1657142857142857</v>
      </c>
      <c r="W95" s="285"/>
      <c r="X95" s="65"/>
    </row>
    <row r="96" spans="1:35">
      <c r="C96" s="284" t="s">
        <v>46</v>
      </c>
      <c r="D96" s="294"/>
      <c r="E96" s="295"/>
      <c r="F96" s="296"/>
      <c r="G96" s="296"/>
      <c r="H96" s="335"/>
      <c r="I96" s="335"/>
      <c r="J96" s="335"/>
      <c r="K96" s="335"/>
      <c r="L96" s="335"/>
      <c r="M96" s="335"/>
      <c r="N96" s="284"/>
      <c r="O96" s="302">
        <v>1500</v>
      </c>
      <c r="P96" s="281">
        <v>0</v>
      </c>
      <c r="Q96" s="282">
        <f t="shared" si="22"/>
        <v>1500</v>
      </c>
      <c r="R96" s="283" t="str">
        <f>IF(P96=0,"NA",(+O96-P96)/P96)</f>
        <v>NA</v>
      </c>
      <c r="S96" s="284"/>
      <c r="T96" s="281">
        <v>0</v>
      </c>
      <c r="U96" s="281">
        <v>875</v>
      </c>
      <c r="V96" s="283">
        <f t="shared" si="24"/>
        <v>-1</v>
      </c>
      <c r="W96" s="285"/>
      <c r="X96" s="65"/>
    </row>
    <row r="97" spans="1:35">
      <c r="C97" s="284" t="s">
        <v>287</v>
      </c>
      <c r="D97" s="294"/>
      <c r="E97" s="295"/>
      <c r="F97" s="296"/>
      <c r="G97" s="296"/>
      <c r="H97" s="296"/>
      <c r="I97" s="296"/>
      <c r="J97" s="296"/>
      <c r="K97" s="296"/>
      <c r="L97" s="296"/>
      <c r="M97" s="296"/>
      <c r="N97" s="330"/>
      <c r="O97" s="302">
        <f>40*12</f>
        <v>480</v>
      </c>
      <c r="P97" s="302">
        <v>0</v>
      </c>
      <c r="Q97" s="282">
        <f t="shared" si="22"/>
        <v>480</v>
      </c>
      <c r="R97" s="283" t="str">
        <f>IF(P97=0,"NA",(+O97-P97)/P97)</f>
        <v>NA</v>
      </c>
      <c r="S97" s="284"/>
      <c r="T97" s="281">
        <v>240</v>
      </c>
      <c r="U97" s="281">
        <v>240</v>
      </c>
      <c r="V97" s="283">
        <f t="shared" si="24"/>
        <v>0</v>
      </c>
      <c r="W97" s="285" t="s">
        <v>303</v>
      </c>
      <c r="X97" s="69"/>
    </row>
    <row r="98" spans="1:35">
      <c r="C98" s="284" t="s">
        <v>113</v>
      </c>
      <c r="D98" s="294"/>
      <c r="E98" s="295"/>
      <c r="F98" s="296"/>
      <c r="G98" s="296"/>
      <c r="H98" s="335"/>
      <c r="I98" s="335"/>
      <c r="J98" s="335"/>
      <c r="K98" s="335"/>
      <c r="L98" s="335"/>
      <c r="M98" s="335"/>
      <c r="N98" s="284"/>
      <c r="O98" s="302">
        <v>350</v>
      </c>
      <c r="P98" s="281">
        <v>0</v>
      </c>
      <c r="Q98" s="282">
        <f t="shared" si="22"/>
        <v>350</v>
      </c>
      <c r="R98" s="283" t="str">
        <f>IF(P98=0,"NA",(+O98-P98)/P98)</f>
        <v>NA</v>
      </c>
      <c r="S98" s="284"/>
      <c r="T98" s="281">
        <v>18.38</v>
      </c>
      <c r="U98" s="281">
        <v>204.19</v>
      </c>
      <c r="V98" s="283">
        <f t="shared" si="24"/>
        <v>-0.90998579754150544</v>
      </c>
      <c r="W98" s="285"/>
      <c r="X98" s="65"/>
    </row>
    <row r="99" spans="1:35">
      <c r="A99" s="47">
        <v>90</v>
      </c>
      <c r="C99" s="289" t="s">
        <v>298</v>
      </c>
      <c r="D99" s="297"/>
      <c r="E99" s="298"/>
      <c r="F99" s="299"/>
      <c r="G99" s="299"/>
      <c r="H99" s="299"/>
      <c r="I99" s="299"/>
      <c r="J99" s="299"/>
      <c r="K99" s="299"/>
      <c r="L99" s="299"/>
      <c r="M99" s="299"/>
      <c r="N99" s="289"/>
      <c r="O99" s="303">
        <f>500+500+1000</f>
        <v>2000</v>
      </c>
      <c r="P99" s="286">
        <v>0</v>
      </c>
      <c r="Q99" s="287">
        <f t="shared" si="22"/>
        <v>2000</v>
      </c>
      <c r="R99" s="288" t="str">
        <f t="shared" si="23"/>
        <v>NA</v>
      </c>
      <c r="S99" s="289"/>
      <c r="T99" s="286">
        <v>1500</v>
      </c>
      <c r="U99" s="286">
        <v>1166.69</v>
      </c>
      <c r="V99" s="288">
        <f t="shared" si="24"/>
        <v>0.2856885719428468</v>
      </c>
      <c r="W99" s="290" t="s">
        <v>299</v>
      </c>
      <c r="X99" s="66"/>
      <c r="AC99" s="510">
        <v>0.4</v>
      </c>
      <c r="AD99" s="510">
        <v>0.4</v>
      </c>
      <c r="AE99" s="510">
        <v>0.2</v>
      </c>
      <c r="AG99" s="37">
        <f>+AC99</f>
        <v>0.4</v>
      </c>
      <c r="AH99" s="37">
        <f>+AD99</f>
        <v>0.4</v>
      </c>
      <c r="AI99" s="37">
        <f>+AE99</f>
        <v>0.2</v>
      </c>
    </row>
    <row r="100" spans="1:35" s="4" customFormat="1">
      <c r="A100" s="47">
        <v>91</v>
      </c>
      <c r="B100" s="26" t="s">
        <v>234</v>
      </c>
      <c r="C100" s="26"/>
      <c r="D100" s="26"/>
      <c r="E100" s="98"/>
      <c r="F100" s="98"/>
      <c r="G100" s="98"/>
      <c r="H100" s="98"/>
      <c r="I100" s="98"/>
      <c r="J100" s="98"/>
      <c r="K100" s="98"/>
      <c r="L100" s="98"/>
      <c r="M100" s="98"/>
      <c r="N100" s="26"/>
      <c r="O100" s="26">
        <f>SUM(O94:O99)</f>
        <v>50080</v>
      </c>
      <c r="P100" s="26">
        <f>SUM(P94:P99)</f>
        <v>0</v>
      </c>
      <c r="Q100" s="26">
        <f>SUM(Q94:Q99)</f>
        <v>50080</v>
      </c>
      <c r="R100" s="27" t="str">
        <f t="shared" si="23"/>
        <v>NA</v>
      </c>
      <c r="T100" s="26">
        <f>SUM(T94:T99)</f>
        <v>28518.38</v>
      </c>
      <c r="U100" s="26">
        <f>SUM(U94:U99)</f>
        <v>29173.379999999997</v>
      </c>
      <c r="V100" s="27">
        <f t="shared" si="24"/>
        <v>-2.2451975053970313E-2</v>
      </c>
      <c r="W100" s="84"/>
      <c r="X100" s="68"/>
      <c r="AC100" s="4">
        <f>+O100*AC99</f>
        <v>20032</v>
      </c>
      <c r="AD100" s="4">
        <f>+O100*AD99</f>
        <v>20032</v>
      </c>
      <c r="AE100" s="4">
        <f>+O100*AE99</f>
        <v>10016</v>
      </c>
      <c r="AG100" s="4">
        <f>+T100*AG99</f>
        <v>11407.352000000001</v>
      </c>
      <c r="AH100" s="4">
        <f>+T100*AH99</f>
        <v>11407.352000000001</v>
      </c>
      <c r="AI100" s="4">
        <f>+T100*AI99</f>
        <v>5703.6760000000004</v>
      </c>
    </row>
    <row r="101" spans="1:35" ht="4.5" customHeight="1">
      <c r="A101" s="47">
        <v>92</v>
      </c>
      <c r="R101" s="7"/>
      <c r="W101" s="82"/>
      <c r="X101" s="66"/>
    </row>
    <row r="102" spans="1:35" ht="4.5" customHeight="1">
      <c r="R102" s="42"/>
      <c r="V102" s="42"/>
      <c r="W102" s="82"/>
      <c r="X102" s="66"/>
    </row>
    <row r="103" spans="1:35">
      <c r="A103" s="47">
        <v>93</v>
      </c>
      <c r="B103" s="4" t="s">
        <v>191</v>
      </c>
      <c r="R103" s="7"/>
      <c r="W103" s="82"/>
      <c r="X103" s="66"/>
    </row>
    <row r="104" spans="1:35" ht="14.4" customHeight="1">
      <c r="A104" s="47">
        <v>94</v>
      </c>
      <c r="C104" s="279" t="s">
        <v>45</v>
      </c>
      <c r="D104" s="291"/>
      <c r="E104" s="292"/>
      <c r="F104" s="336"/>
      <c r="G104" s="336"/>
      <c r="H104" s="334">
        <f>ROUND(+$P104*(1+$F$79),0)</f>
        <v>20808</v>
      </c>
      <c r="I104" s="334"/>
      <c r="J104" s="334"/>
      <c r="K104" s="334"/>
      <c r="L104" s="334"/>
      <c r="M104" s="334"/>
      <c r="N104" s="279"/>
      <c r="O104" s="310">
        <f>ROUND(+P104*(1+F$79),0)</f>
        <v>20808</v>
      </c>
      <c r="P104" s="276">
        <v>20400</v>
      </c>
      <c r="Q104" s="277">
        <f>+O104-P104</f>
        <v>408</v>
      </c>
      <c r="R104" s="278">
        <f>IF(P104=0,"NA",(+O104-P104)/P104)</f>
        <v>0.02</v>
      </c>
      <c r="S104" s="279"/>
      <c r="T104" s="276">
        <v>12138</v>
      </c>
      <c r="U104" s="276">
        <v>12138</v>
      </c>
      <c r="V104" s="278">
        <f>IF(U104=0,"NA",(+T104-U104)/U104)</f>
        <v>0</v>
      </c>
      <c r="W104" s="280" t="s">
        <v>177</v>
      </c>
      <c r="X104" s="65" t="s">
        <v>128</v>
      </c>
      <c r="AD104" s="1">
        <f>+$O104</f>
        <v>20808</v>
      </c>
      <c r="AH104" s="1">
        <f>+$T104</f>
        <v>12138</v>
      </c>
    </row>
    <row r="105" spans="1:35" ht="44.5" customHeight="1">
      <c r="A105" s="47">
        <v>95</v>
      </c>
      <c r="C105" s="289" t="s">
        <v>47</v>
      </c>
      <c r="D105" s="297"/>
      <c r="E105" s="337">
        <v>2</v>
      </c>
      <c r="F105" s="338">
        <f>ROUND(+J105*(1+H105),2)</f>
        <v>10</v>
      </c>
      <c r="G105" s="337">
        <v>40</v>
      </c>
      <c r="H105" s="339">
        <v>0</v>
      </c>
      <c r="I105" s="337">
        <v>4</v>
      </c>
      <c r="J105" s="340">
        <v>10</v>
      </c>
      <c r="K105" s="337">
        <v>40</v>
      </c>
      <c r="L105" s="288">
        <f>IF(M105=0,0,(+J105-M105)/M105)</f>
        <v>0</v>
      </c>
      <c r="M105" s="341">
        <v>0</v>
      </c>
      <c r="N105" s="289"/>
      <c r="O105" s="332">
        <f>ROUND(F105*E105*G105,0)</f>
        <v>800</v>
      </c>
      <c r="P105" s="303">
        <v>800</v>
      </c>
      <c r="Q105" s="287">
        <f>+O105-P105</f>
        <v>0</v>
      </c>
      <c r="R105" s="288">
        <f>IF(P105=0,"NA",(+O105-P105)/P105)</f>
        <v>0</v>
      </c>
      <c r="S105" s="289"/>
      <c r="T105" s="303">
        <v>109.33</v>
      </c>
      <c r="U105" s="286">
        <v>466.69</v>
      </c>
      <c r="V105" s="288">
        <f>IF(U105=0,"NA",(+T105-U105)/U105)</f>
        <v>-0.76573314191433284</v>
      </c>
      <c r="W105" s="373" t="str">
        <f>"Matt Nelson (not taking) and Alyssa Both at:  "&amp;Bud_Yr&amp;":  avg "&amp;E105&amp;" hrs/week at $"&amp;F105&amp;"/hr ("&amp;ROUND(H105*100,1)&amp;"% incr.) for "&amp;G105&amp;" weeks (Sept-May, excluding Lent).  "&amp;Bud_Yr-1&amp;":  avg "&amp;I105&amp;" hrs/week at $"&amp;J105&amp;"/hr ("&amp;ROUND(L105*100,1)&amp;"% incr.) for "&amp;K105&amp;" weeks.   "</f>
        <v xml:space="preserve">Matt Nelson (not taking) and Alyssa Both at:  2019:  avg 2 hrs/week at $10/hr (0% incr.) for 40 weeks (Sept-May, excluding Lent).  2018:  avg 4 hrs/week at $10/hr (0% incr.) for 40 weeks.   </v>
      </c>
      <c r="X105" s="1" t="s">
        <v>129</v>
      </c>
      <c r="AD105" s="1">
        <f>+$O105</f>
        <v>800</v>
      </c>
      <c r="AH105" s="1">
        <f>+$T105</f>
        <v>109.33</v>
      </c>
    </row>
    <row r="106" spans="1:35" s="4" customFormat="1">
      <c r="A106" s="47">
        <v>96</v>
      </c>
      <c r="B106" s="26" t="s">
        <v>48</v>
      </c>
      <c r="C106" s="26"/>
      <c r="D106" s="26"/>
      <c r="E106" s="98"/>
      <c r="F106" s="98"/>
      <c r="G106" s="98"/>
      <c r="H106" s="98"/>
      <c r="I106" s="98"/>
      <c r="J106" s="98"/>
      <c r="K106" s="98"/>
      <c r="L106" s="98"/>
      <c r="M106" s="98"/>
      <c r="N106" s="26"/>
      <c r="O106" s="26">
        <f>SUM(O104:O105)</f>
        <v>21608</v>
      </c>
      <c r="P106" s="26">
        <f>SUM(P104:P105)</f>
        <v>21200</v>
      </c>
      <c r="Q106" s="26">
        <f>SUM(Q104:Q105)</f>
        <v>408</v>
      </c>
      <c r="R106" s="27">
        <f>IF(P106=0,"NA",(+O106-P106)/P106)</f>
        <v>1.9245283018867923E-2</v>
      </c>
      <c r="T106" s="26">
        <f>SUM(T104:T105)</f>
        <v>12247.33</v>
      </c>
      <c r="U106" s="26">
        <f>SUM(U104:U105)</f>
        <v>12604.69</v>
      </c>
      <c r="V106" s="27">
        <f>IF(U106=0,"NA",(+T106-U106)/U106)</f>
        <v>-2.835135175875016E-2</v>
      </c>
      <c r="W106" s="84"/>
      <c r="X106" s="68"/>
    </row>
    <row r="107" spans="1:35" ht="6" customHeight="1">
      <c r="A107" s="47">
        <v>97</v>
      </c>
      <c r="R107" s="7"/>
      <c r="W107" s="82"/>
      <c r="X107" s="66"/>
    </row>
    <row r="108" spans="1:35" hidden="1">
      <c r="A108" s="47">
        <v>98</v>
      </c>
      <c r="B108" s="4" t="s">
        <v>122</v>
      </c>
      <c r="C108" s="279"/>
      <c r="D108" s="291"/>
      <c r="E108" s="545">
        <v>2017</v>
      </c>
      <c r="F108" s="546"/>
      <c r="G108" s="546"/>
      <c r="H108" s="547"/>
      <c r="I108" s="553" t="str">
        <f>"2017 = 1/2 Lead and 1/2 Deacon2018 75% Deacon plus increase 2.0%, "&amp;F79*100&amp;"% Lead"</f>
        <v>2017 = 1/2 Lead and 1/2 Deacon2018 75% Deacon plus increase 2.0%, 2% Lead</v>
      </c>
      <c r="J108" s="554"/>
      <c r="K108" s="554"/>
      <c r="L108" s="554"/>
      <c r="M108" s="554"/>
      <c r="N108" s="554"/>
      <c r="O108" s="279"/>
      <c r="P108" s="279"/>
      <c r="Q108" s="279"/>
      <c r="R108" s="293"/>
      <c r="S108" s="279"/>
      <c r="T108" s="279"/>
      <c r="U108" s="279"/>
      <c r="V108" s="293"/>
      <c r="W108" s="342"/>
      <c r="X108" s="66"/>
    </row>
    <row r="109" spans="1:35" ht="14.5" hidden="1" customHeight="1">
      <c r="A109" s="47">
        <v>99</v>
      </c>
      <c r="C109" s="284" t="s">
        <v>45</v>
      </c>
      <c r="D109" s="294"/>
      <c r="E109" s="343">
        <f>86349</f>
        <v>86349</v>
      </c>
      <c r="F109" s="344" t="s">
        <v>192</v>
      </c>
      <c r="G109" s="302">
        <v>38239</v>
      </c>
      <c r="H109" s="345" t="s">
        <v>122</v>
      </c>
      <c r="I109" s="555"/>
      <c r="J109" s="556"/>
      <c r="K109" s="556"/>
      <c r="L109" s="556"/>
      <c r="M109" s="556"/>
      <c r="N109" s="556"/>
      <c r="O109" s="302">
        <v>0</v>
      </c>
      <c r="P109" s="302">
        <v>40976</v>
      </c>
      <c r="Q109" s="282">
        <f t="shared" ref="Q109:Q115" si="25">+O109-P109</f>
        <v>-40976</v>
      </c>
      <c r="R109" s="283">
        <f t="shared" ref="R109:R116" si="26">IF(P109=0,"NA",(+O109-P109)/P109)</f>
        <v>-1</v>
      </c>
      <c r="S109" s="284"/>
      <c r="T109" s="281">
        <v>0</v>
      </c>
      <c r="U109" s="281">
        <v>0</v>
      </c>
      <c r="V109" s="283" t="str">
        <f t="shared" ref="V109:V116" si="27">IF(U109=0,"NA",(+T109-U109)/U109)</f>
        <v>NA</v>
      </c>
      <c r="W109" s="285" t="s">
        <v>221</v>
      </c>
      <c r="X109" s="65" t="s">
        <v>152</v>
      </c>
    </row>
    <row r="110" spans="1:35" ht="29" hidden="1">
      <c r="A110" s="47">
        <v>100</v>
      </c>
      <c r="C110" s="284" t="s">
        <v>42</v>
      </c>
      <c r="D110" s="294"/>
      <c r="E110" s="295"/>
      <c r="F110" s="346">
        <v>0.11</v>
      </c>
      <c r="G110" s="296">
        <v>2017</v>
      </c>
      <c r="H110" s="346">
        <v>0.12</v>
      </c>
      <c r="I110" s="296">
        <v>2018</v>
      </c>
      <c r="J110" s="296"/>
      <c r="K110" s="296"/>
      <c r="L110" s="296"/>
      <c r="M110" s="296"/>
      <c r="N110" s="284"/>
      <c r="O110" s="302">
        <v>0</v>
      </c>
      <c r="P110" s="302">
        <v>6556</v>
      </c>
      <c r="Q110" s="282">
        <f t="shared" si="25"/>
        <v>-6556</v>
      </c>
      <c r="R110" s="283">
        <f t="shared" si="26"/>
        <v>-1</v>
      </c>
      <c r="S110" s="284"/>
      <c r="T110" s="281">
        <v>0</v>
      </c>
      <c r="U110" s="281">
        <v>0</v>
      </c>
      <c r="V110" s="283" t="str">
        <f t="shared" si="27"/>
        <v>NA</v>
      </c>
      <c r="W110" s="328" t="s">
        <v>214</v>
      </c>
      <c r="X110" s="73"/>
    </row>
    <row r="111" spans="1:35" hidden="1">
      <c r="A111" s="47">
        <v>101</v>
      </c>
      <c r="C111" s="284" t="s">
        <v>44</v>
      </c>
      <c r="D111" s="294"/>
      <c r="E111" s="295"/>
      <c r="F111" s="296"/>
      <c r="G111" s="296"/>
      <c r="H111" s="296"/>
      <c r="I111" s="296"/>
      <c r="J111" s="296"/>
      <c r="K111" s="296"/>
      <c r="L111" s="296"/>
      <c r="M111" s="296"/>
      <c r="N111" s="284"/>
      <c r="O111" s="281">
        <v>0</v>
      </c>
      <c r="P111" s="281">
        <v>750</v>
      </c>
      <c r="Q111" s="282">
        <f t="shared" si="25"/>
        <v>-750</v>
      </c>
      <c r="R111" s="283">
        <f t="shared" si="26"/>
        <v>-1</v>
      </c>
      <c r="S111" s="284"/>
      <c r="T111" s="281">
        <v>0</v>
      </c>
      <c r="U111" s="281">
        <v>0</v>
      </c>
      <c r="V111" s="283" t="str">
        <f t="shared" si="27"/>
        <v>NA</v>
      </c>
      <c r="W111" s="285"/>
      <c r="X111" s="65"/>
    </row>
    <row r="112" spans="1:35" ht="14.4" hidden="1" customHeight="1">
      <c r="A112" s="47">
        <v>102</v>
      </c>
      <c r="C112" s="284" t="s">
        <v>43</v>
      </c>
      <c r="D112" s="294"/>
      <c r="E112" s="295"/>
      <c r="F112" s="296"/>
      <c r="G112" s="296"/>
      <c r="H112" s="296"/>
      <c r="I112" s="296"/>
      <c r="J112" s="296"/>
      <c r="K112" s="296"/>
      <c r="L112" s="296"/>
      <c r="M112" s="296"/>
      <c r="N112" s="284"/>
      <c r="O112" s="302">
        <v>0</v>
      </c>
      <c r="P112" s="302">
        <v>3300</v>
      </c>
      <c r="Q112" s="282">
        <f t="shared" si="25"/>
        <v>-3300</v>
      </c>
      <c r="R112" s="283">
        <f t="shared" si="26"/>
        <v>-1</v>
      </c>
      <c r="S112" s="284"/>
      <c r="T112" s="281">
        <v>0</v>
      </c>
      <c r="U112" s="281">
        <v>0</v>
      </c>
      <c r="V112" s="283" t="str">
        <f t="shared" si="27"/>
        <v>NA</v>
      </c>
      <c r="W112" s="285" t="s">
        <v>196</v>
      </c>
      <c r="X112" s="69" t="s">
        <v>144</v>
      </c>
    </row>
    <row r="113" spans="1:34" hidden="1">
      <c r="A113" s="47">
        <v>103</v>
      </c>
      <c r="C113" s="284" t="s">
        <v>46</v>
      </c>
      <c r="D113" s="294"/>
      <c r="E113" s="295"/>
      <c r="F113" s="296"/>
      <c r="G113" s="296"/>
      <c r="H113" s="296"/>
      <c r="I113" s="296"/>
      <c r="J113" s="296"/>
      <c r="K113" s="296"/>
      <c r="L113" s="296"/>
      <c r="M113" s="296"/>
      <c r="N113" s="284"/>
      <c r="O113" s="281">
        <v>0</v>
      </c>
      <c r="P113" s="281">
        <v>1500</v>
      </c>
      <c r="Q113" s="282">
        <f t="shared" si="25"/>
        <v>-1500</v>
      </c>
      <c r="R113" s="283">
        <f t="shared" si="26"/>
        <v>-1</v>
      </c>
      <c r="S113" s="284"/>
      <c r="T113" s="281">
        <v>0</v>
      </c>
      <c r="U113" s="281">
        <v>0</v>
      </c>
      <c r="V113" s="283" t="str">
        <f t="shared" si="27"/>
        <v>NA</v>
      </c>
      <c r="W113" s="285" t="s">
        <v>195</v>
      </c>
      <c r="X113" s="65"/>
    </row>
    <row r="114" spans="1:34" hidden="1">
      <c r="C114" s="284" t="s">
        <v>113</v>
      </c>
      <c r="D114" s="294"/>
      <c r="E114" s="295"/>
      <c r="F114" s="296"/>
      <c r="G114" s="296"/>
      <c r="H114" s="296"/>
      <c r="I114" s="296"/>
      <c r="J114" s="296"/>
      <c r="K114" s="296"/>
      <c r="L114" s="296"/>
      <c r="M114" s="296"/>
      <c r="N114" s="284"/>
      <c r="O114" s="281">
        <v>0</v>
      </c>
      <c r="P114" s="281">
        <v>350</v>
      </c>
      <c r="Q114" s="282">
        <f>+O114-P114</f>
        <v>-350</v>
      </c>
      <c r="R114" s="283">
        <f>IF(P114=0,"NA",(+O114-P114)/P114)</f>
        <v>-1</v>
      </c>
      <c r="S114" s="284"/>
      <c r="T114" s="281">
        <v>0</v>
      </c>
      <c r="U114" s="281">
        <v>0</v>
      </c>
      <c r="V114" s="283" t="str">
        <f>IF(U114=0,"NA",(+T114-U114)/U114)</f>
        <v>NA</v>
      </c>
      <c r="W114" s="285" t="s">
        <v>195</v>
      </c>
      <c r="X114" s="65"/>
    </row>
    <row r="115" spans="1:34" hidden="1">
      <c r="A115" s="47">
        <v>104</v>
      </c>
      <c r="C115" s="289" t="s">
        <v>49</v>
      </c>
      <c r="D115" s="297"/>
      <c r="E115" s="298"/>
      <c r="F115" s="299"/>
      <c r="G115" s="299"/>
      <c r="H115" s="299"/>
      <c r="I115" s="299"/>
      <c r="J115" s="299"/>
      <c r="K115" s="299"/>
      <c r="L115" s="299"/>
      <c r="M115" s="299"/>
      <c r="N115" s="289"/>
      <c r="O115" s="286">
        <v>0</v>
      </c>
      <c r="P115" s="286">
        <v>0</v>
      </c>
      <c r="Q115" s="287">
        <f t="shared" si="25"/>
        <v>0</v>
      </c>
      <c r="R115" s="288" t="str">
        <f t="shared" si="26"/>
        <v>NA</v>
      </c>
      <c r="S115" s="289"/>
      <c r="T115" s="286">
        <v>0</v>
      </c>
      <c r="U115" s="286">
        <v>0</v>
      </c>
      <c r="V115" s="288" t="str">
        <f t="shared" si="27"/>
        <v>NA</v>
      </c>
      <c r="W115" s="347"/>
      <c r="X115" s="77" t="s">
        <v>145</v>
      </c>
    </row>
    <row r="116" spans="1:34" s="4" customFormat="1" hidden="1">
      <c r="A116" s="47">
        <v>105</v>
      </c>
      <c r="B116" s="26" t="s">
        <v>169</v>
      </c>
      <c r="C116" s="26"/>
      <c r="D116" s="26"/>
      <c r="E116" s="98"/>
      <c r="F116" s="98"/>
      <c r="G116" s="98"/>
      <c r="H116" s="98"/>
      <c r="I116" s="98"/>
      <c r="J116" s="98"/>
      <c r="K116" s="98"/>
      <c r="L116" s="98"/>
      <c r="M116" s="98"/>
      <c r="N116" s="26"/>
      <c r="O116" s="26">
        <f>SUM(O109:O115)</f>
        <v>0</v>
      </c>
      <c r="P116" s="26">
        <f>SUM(P109:P115)</f>
        <v>53432</v>
      </c>
      <c r="Q116" s="26">
        <f>SUM(Q109:Q115)</f>
        <v>-53432</v>
      </c>
      <c r="R116" s="27">
        <f t="shared" si="26"/>
        <v>-1</v>
      </c>
      <c r="T116" s="26">
        <f>SUM(T109:T115)</f>
        <v>0</v>
      </c>
      <c r="U116" s="26">
        <f>SUM(U109:U115)</f>
        <v>0</v>
      </c>
      <c r="V116" s="27" t="str">
        <f t="shared" si="27"/>
        <v>NA</v>
      </c>
      <c r="W116" s="84"/>
      <c r="X116" s="68"/>
    </row>
    <row r="117" spans="1:34" ht="6" customHeight="1">
      <c r="A117" s="47">
        <v>106</v>
      </c>
      <c r="R117" s="7"/>
      <c r="W117" s="82"/>
      <c r="X117" s="66"/>
    </row>
    <row r="118" spans="1:34">
      <c r="A118" s="47">
        <v>107</v>
      </c>
      <c r="B118" s="4" t="s">
        <v>50</v>
      </c>
      <c r="R118" s="7"/>
      <c r="W118" s="82"/>
      <c r="X118" s="66"/>
    </row>
    <row r="119" spans="1:34">
      <c r="A119" s="47">
        <v>108</v>
      </c>
      <c r="C119" s="279" t="s">
        <v>115</v>
      </c>
      <c r="D119" s="291"/>
      <c r="E119" s="292"/>
      <c r="F119" s="293"/>
      <c r="G119" s="293"/>
      <c r="H119" s="293"/>
      <c r="I119" s="293"/>
      <c r="J119" s="293"/>
      <c r="K119" s="293"/>
      <c r="L119" s="293"/>
      <c r="M119" s="293"/>
      <c r="N119" s="348"/>
      <c r="O119" s="310">
        <f>ROUND(+P119*(1+$F$80),0)</f>
        <v>15918</v>
      </c>
      <c r="P119" s="276">
        <v>15606</v>
      </c>
      <c r="Q119" s="277">
        <f t="shared" ref="Q119:Q128" si="28">+O119-P119</f>
        <v>312</v>
      </c>
      <c r="R119" s="278">
        <f t="shared" ref="R119:R129" si="29">IF(P119=0,"NA",(+O119-P119)/P119)</f>
        <v>1.9992310649750097E-2</v>
      </c>
      <c r="S119" s="279"/>
      <c r="T119" s="276">
        <v>9285.5</v>
      </c>
      <c r="U119" s="276">
        <v>9285.5</v>
      </c>
      <c r="V119" s="278">
        <f t="shared" ref="V119:V129" si="30">IF(U119=0,"NA",(+T119-U119)/U119)</f>
        <v>0</v>
      </c>
      <c r="W119" s="280" t="s">
        <v>178</v>
      </c>
      <c r="X119" s="65" t="s">
        <v>162</v>
      </c>
      <c r="AC119" s="1">
        <f t="shared" ref="AC119:AD128" si="31">+$O119</f>
        <v>15918</v>
      </c>
      <c r="AG119" s="1">
        <f t="shared" ref="AG119:AH128" si="32">+$T119</f>
        <v>9285.5</v>
      </c>
    </row>
    <row r="120" spans="1:34">
      <c r="C120" s="279" t="s">
        <v>315</v>
      </c>
      <c r="D120" s="291"/>
      <c r="E120" s="292"/>
      <c r="F120" s="293"/>
      <c r="G120" s="293"/>
      <c r="H120" s="293"/>
      <c r="I120" s="293"/>
      <c r="J120" s="293"/>
      <c r="K120" s="293"/>
      <c r="L120" s="293"/>
      <c r="M120" s="293"/>
      <c r="N120" s="348"/>
      <c r="O120" s="310">
        <f>+'Band Estimate'!C22</f>
        <v>3000</v>
      </c>
      <c r="P120" s="276">
        <v>0</v>
      </c>
      <c r="Q120" s="277">
        <f>+O120-P120</f>
        <v>3000</v>
      </c>
      <c r="R120" s="278" t="str">
        <f>IF(P120=0,"NA",(+O120-P120)/P120)</f>
        <v>NA</v>
      </c>
      <c r="S120" s="279"/>
      <c r="T120" s="276">
        <v>1500</v>
      </c>
      <c r="U120" s="276">
        <v>1750</v>
      </c>
      <c r="V120" s="278">
        <f>IF(U120=0,"NA",(+T120-U120)/U120)</f>
        <v>-0.14285714285714285</v>
      </c>
      <c r="W120" s="280" t="s">
        <v>386</v>
      </c>
      <c r="X120" s="65" t="s">
        <v>162</v>
      </c>
      <c r="AC120" s="1">
        <f t="shared" si="31"/>
        <v>3000</v>
      </c>
      <c r="AG120" s="1">
        <f t="shared" si="32"/>
        <v>1500</v>
      </c>
    </row>
    <row r="121" spans="1:34">
      <c r="A121" s="47">
        <v>109</v>
      </c>
      <c r="C121" s="284" t="s">
        <v>51</v>
      </c>
      <c r="D121" s="294"/>
      <c r="E121" s="295"/>
      <c r="F121" s="296"/>
      <c r="G121" s="296"/>
      <c r="H121" s="296"/>
      <c r="I121" s="296"/>
      <c r="J121" s="296"/>
      <c r="K121" s="296"/>
      <c r="L121" s="296"/>
      <c r="M121" s="296"/>
      <c r="N121" s="349"/>
      <c r="O121" s="281">
        <v>500</v>
      </c>
      <c r="P121" s="281">
        <v>500</v>
      </c>
      <c r="Q121" s="282">
        <f t="shared" si="28"/>
        <v>0</v>
      </c>
      <c r="R121" s="283">
        <f t="shared" si="29"/>
        <v>0</v>
      </c>
      <c r="S121" s="284"/>
      <c r="T121" s="281">
        <v>0</v>
      </c>
      <c r="U121" s="281">
        <v>291.69</v>
      </c>
      <c r="V121" s="283">
        <f t="shared" si="30"/>
        <v>-1</v>
      </c>
      <c r="W121" s="350"/>
      <c r="X121" s="65" t="s">
        <v>165</v>
      </c>
      <c r="AC121" s="1">
        <f t="shared" si="31"/>
        <v>500</v>
      </c>
      <c r="AG121" s="1">
        <f t="shared" si="32"/>
        <v>0</v>
      </c>
    </row>
    <row r="122" spans="1:34" ht="28.5" customHeight="1">
      <c r="A122" s="47">
        <v>110</v>
      </c>
      <c r="C122" s="284" t="s">
        <v>52</v>
      </c>
      <c r="D122" s="294"/>
      <c r="E122" s="295"/>
      <c r="F122" s="296"/>
      <c r="G122" s="296"/>
      <c r="H122" s="296"/>
      <c r="I122" s="296"/>
      <c r="J122" s="296"/>
      <c r="K122" s="296"/>
      <c r="L122" s="296"/>
      <c r="M122" s="296"/>
      <c r="N122" s="349"/>
      <c r="O122" s="318">
        <f>+'Band Estimate'!C39</f>
        <v>13290</v>
      </c>
      <c r="P122" s="281">
        <v>15318</v>
      </c>
      <c r="Q122" s="282">
        <f t="shared" si="28"/>
        <v>-2028</v>
      </c>
      <c r="R122" s="283">
        <f t="shared" si="29"/>
        <v>-0.13239326282804545</v>
      </c>
      <c r="S122" s="284"/>
      <c r="T122" s="281">
        <v>8800.99</v>
      </c>
      <c r="U122" s="281">
        <v>7386</v>
      </c>
      <c r="V122" s="283">
        <f t="shared" si="30"/>
        <v>0.19157730842133763</v>
      </c>
      <c r="W122" s="285" t="str">
        <f>"2019:  Paid per Performance and Practise times.  2018:  Increase for Music of "&amp;F80*100&amp;"% at 75% of year for not playing in the summer"</f>
        <v>2019:  Paid per Performance and Practise times.  2018:  Increase for Music of 2% at 75% of year for not playing in the summer</v>
      </c>
      <c r="X122" s="65" t="s">
        <v>164</v>
      </c>
      <c r="AC122" s="1">
        <f t="shared" si="31"/>
        <v>13290</v>
      </c>
      <c r="AG122" s="1">
        <f t="shared" si="32"/>
        <v>8800.99</v>
      </c>
    </row>
    <row r="123" spans="1:34" ht="29">
      <c r="A123" s="47">
        <v>110</v>
      </c>
      <c r="C123" s="544" t="s">
        <v>400</v>
      </c>
      <c r="D123" s="544"/>
      <c r="E123" s="295"/>
      <c r="F123" s="296"/>
      <c r="G123" s="296"/>
      <c r="H123" s="296"/>
      <c r="I123" s="296"/>
      <c r="J123" s="296"/>
      <c r="K123" s="296"/>
      <c r="L123" s="296"/>
      <c r="M123" s="296"/>
      <c r="N123" s="349"/>
      <c r="O123" s="318">
        <f>+'Band Estimate'!C64</f>
        <v>3000</v>
      </c>
      <c r="P123" s="281">
        <v>5106</v>
      </c>
      <c r="Q123" s="282">
        <f>+O123-P123</f>
        <v>-2106</v>
      </c>
      <c r="R123" s="283">
        <f>IF(P123=0,"NA",(+O123-P123)/P123)</f>
        <v>-0.41245593419506466</v>
      </c>
      <c r="S123" s="284"/>
      <c r="T123" s="281">
        <v>2005</v>
      </c>
      <c r="U123" s="281">
        <v>2000</v>
      </c>
      <c r="V123" s="283">
        <f>IF(U123=0,"NA",(+T123-U123)/U123)</f>
        <v>2.5000000000000001E-3</v>
      </c>
      <c r="W123" s="285" t="s">
        <v>395</v>
      </c>
      <c r="X123" s="65" t="s">
        <v>164</v>
      </c>
      <c r="AC123" s="1">
        <f t="shared" si="31"/>
        <v>3000</v>
      </c>
      <c r="AG123" s="1">
        <f t="shared" si="32"/>
        <v>2005</v>
      </c>
    </row>
    <row r="124" spans="1:34">
      <c r="C124" s="284" t="s">
        <v>392</v>
      </c>
      <c r="D124" s="294"/>
      <c r="E124" s="295"/>
      <c r="F124" s="296"/>
      <c r="G124" s="296"/>
      <c r="H124" s="296"/>
      <c r="I124" s="296"/>
      <c r="J124" s="296"/>
      <c r="K124" s="296"/>
      <c r="L124" s="296"/>
      <c r="M124" s="296"/>
      <c r="N124" s="349"/>
      <c r="O124" s="318">
        <f>+'Band Estimate'!C52</f>
        <v>3350</v>
      </c>
      <c r="P124" s="281">
        <v>0</v>
      </c>
      <c r="Q124" s="282">
        <f>+O124-P124</f>
        <v>3350</v>
      </c>
      <c r="R124" s="283" t="str">
        <f>IF(P124=0,"NA",(+O124-P124)/P124)</f>
        <v>NA</v>
      </c>
      <c r="S124" s="284"/>
      <c r="T124" s="281">
        <v>1425</v>
      </c>
      <c r="U124" s="281">
        <v>1954.19</v>
      </c>
      <c r="V124" s="283">
        <f>IF(U124=0,"NA",(+T124-U124)/U124)</f>
        <v>-0.27079761947405323</v>
      </c>
      <c r="W124" s="350" t="s">
        <v>393</v>
      </c>
      <c r="X124" s="65"/>
      <c r="AC124" s="1">
        <f t="shared" si="31"/>
        <v>3350</v>
      </c>
      <c r="AG124" s="1">
        <f t="shared" si="32"/>
        <v>1425</v>
      </c>
    </row>
    <row r="125" spans="1:34">
      <c r="A125" s="47">
        <v>111</v>
      </c>
      <c r="C125" s="284" t="s">
        <v>53</v>
      </c>
      <c r="D125" s="294"/>
      <c r="E125" s="295"/>
      <c r="F125" s="296"/>
      <c r="G125" s="296"/>
      <c r="H125" s="296"/>
      <c r="I125" s="296"/>
      <c r="J125" s="296"/>
      <c r="K125" s="296"/>
      <c r="L125" s="296"/>
      <c r="M125" s="296"/>
      <c r="N125" s="349"/>
      <c r="O125" s="318">
        <f>ROUND(+P125*(1+$F$80),0)</f>
        <v>7484</v>
      </c>
      <c r="P125" s="281">
        <v>7337</v>
      </c>
      <c r="Q125" s="282">
        <f t="shared" si="28"/>
        <v>147</v>
      </c>
      <c r="R125" s="283">
        <f t="shared" si="29"/>
        <v>2.0035436827041026E-2</v>
      </c>
      <c r="S125" s="284"/>
      <c r="T125" s="281">
        <v>4490.3999999999996</v>
      </c>
      <c r="U125" s="281">
        <v>4490.3999999999996</v>
      </c>
      <c r="V125" s="283">
        <f t="shared" si="30"/>
        <v>0</v>
      </c>
      <c r="W125" s="285" t="s">
        <v>179</v>
      </c>
      <c r="X125" s="65" t="s">
        <v>163</v>
      </c>
      <c r="AC125" s="1">
        <f t="shared" si="31"/>
        <v>7484</v>
      </c>
      <c r="AG125" s="1">
        <f t="shared" si="32"/>
        <v>4490.3999999999996</v>
      </c>
    </row>
    <row r="126" spans="1:34">
      <c r="A126" s="47">
        <v>112</v>
      </c>
      <c r="C126" s="284" t="s">
        <v>54</v>
      </c>
      <c r="D126" s="294"/>
      <c r="E126" s="295"/>
      <c r="F126" s="296"/>
      <c r="G126" s="296"/>
      <c r="H126" s="335">
        <f>ROUND(+$P126*(1+$F$80),0)</f>
        <v>1785</v>
      </c>
      <c r="I126" s="335"/>
      <c r="J126" s="335"/>
      <c r="K126" s="335"/>
      <c r="L126" s="335"/>
      <c r="M126" s="335"/>
      <c r="N126" s="284"/>
      <c r="O126" s="318">
        <f>ROUND(+P126*(1+$F$80),0)</f>
        <v>1785</v>
      </c>
      <c r="P126" s="281">
        <v>1750</v>
      </c>
      <c r="Q126" s="282">
        <f t="shared" si="28"/>
        <v>35</v>
      </c>
      <c r="R126" s="283">
        <f t="shared" si="29"/>
        <v>0.02</v>
      </c>
      <c r="S126" s="284"/>
      <c r="T126" s="281">
        <v>743.75</v>
      </c>
      <c r="U126" s="281">
        <v>1041.25</v>
      </c>
      <c r="V126" s="283">
        <f t="shared" si="30"/>
        <v>-0.2857142857142857</v>
      </c>
      <c r="W126" s="285" t="s">
        <v>180</v>
      </c>
      <c r="X126" s="65" t="s">
        <v>165</v>
      </c>
      <c r="AD126" s="1">
        <f t="shared" si="31"/>
        <v>1785</v>
      </c>
      <c r="AH126" s="1">
        <f t="shared" si="32"/>
        <v>743.75</v>
      </c>
    </row>
    <row r="127" spans="1:34">
      <c r="C127" s="284" t="s">
        <v>112</v>
      </c>
      <c r="D127" s="294"/>
      <c r="E127" s="550" t="s">
        <v>185</v>
      </c>
      <c r="F127" s="551"/>
      <c r="G127" s="551"/>
      <c r="H127" s="551"/>
      <c r="I127" s="551"/>
      <c r="J127" s="551"/>
      <c r="K127" s="551"/>
      <c r="L127" s="551"/>
      <c r="M127" s="551"/>
      <c r="N127" s="551"/>
      <c r="O127" s="302">
        <v>0</v>
      </c>
      <c r="P127" s="281">
        <v>1200</v>
      </c>
      <c r="Q127" s="282">
        <f t="shared" si="28"/>
        <v>-1200</v>
      </c>
      <c r="R127" s="283">
        <f>IF(P127=0,"NA",(+O127-P127)/P127)</f>
        <v>-1</v>
      </c>
      <c r="S127" s="284"/>
      <c r="T127" s="302">
        <v>100</v>
      </c>
      <c r="U127" s="281">
        <v>0</v>
      </c>
      <c r="V127" s="283" t="str">
        <f>IF(U127=0,"NA",(+T127-U127)/U127)</f>
        <v>NA</v>
      </c>
      <c r="W127" s="285" t="s">
        <v>387</v>
      </c>
      <c r="X127" s="78" t="s">
        <v>161</v>
      </c>
      <c r="AD127" s="1">
        <f t="shared" si="31"/>
        <v>0</v>
      </c>
      <c r="AH127" s="1">
        <f t="shared" si="32"/>
        <v>100</v>
      </c>
    </row>
    <row r="128" spans="1:34">
      <c r="A128" s="47">
        <v>113</v>
      </c>
      <c r="C128" s="289" t="s">
        <v>116</v>
      </c>
      <c r="D128" s="297"/>
      <c r="E128" s="548">
        <f>Bud_Yr</f>
        <v>2019</v>
      </c>
      <c r="F128" s="549"/>
      <c r="G128" s="549"/>
      <c r="H128" s="549"/>
      <c r="I128" s="549">
        <f>Bud_Yr-1</f>
        <v>2018</v>
      </c>
      <c r="J128" s="549"/>
      <c r="K128" s="549"/>
      <c r="L128" s="549"/>
      <c r="M128" s="351">
        <f>Bud_Yr-2</f>
        <v>2017</v>
      </c>
      <c r="N128" s="351">
        <v>2016</v>
      </c>
      <c r="O128" s="332">
        <f>ROUND(+P128*(1+$F$80),0)</f>
        <v>2759</v>
      </c>
      <c r="P128" s="286">
        <v>2705</v>
      </c>
      <c r="Q128" s="287">
        <f t="shared" si="28"/>
        <v>54</v>
      </c>
      <c r="R128" s="288">
        <f t="shared" si="29"/>
        <v>1.9963031423290204E-2</v>
      </c>
      <c r="S128" s="289"/>
      <c r="T128" s="286">
        <v>1921.5</v>
      </c>
      <c r="U128" s="286">
        <v>1609.44</v>
      </c>
      <c r="V128" s="288">
        <f t="shared" si="30"/>
        <v>0.19389352818371602</v>
      </c>
      <c r="W128" s="290" t="s">
        <v>213</v>
      </c>
      <c r="X128" s="65" t="s">
        <v>165</v>
      </c>
      <c r="AC128" s="1">
        <f t="shared" si="31"/>
        <v>2759</v>
      </c>
      <c r="AG128" s="1">
        <f t="shared" si="32"/>
        <v>1921.5</v>
      </c>
    </row>
    <row r="129" spans="1:36" s="4" customFormat="1" ht="15" thickBot="1">
      <c r="A129" s="47">
        <v>114</v>
      </c>
      <c r="B129" s="26" t="s">
        <v>55</v>
      </c>
      <c r="C129" s="26"/>
      <c r="D129" s="26"/>
      <c r="E129" s="106" t="s">
        <v>183</v>
      </c>
      <c r="F129" s="107" t="s">
        <v>184</v>
      </c>
      <c r="G129" s="107" t="s">
        <v>187</v>
      </c>
      <c r="H129" s="107" t="s">
        <v>182</v>
      </c>
      <c r="I129" s="107" t="s">
        <v>183</v>
      </c>
      <c r="J129" s="107" t="s">
        <v>184</v>
      </c>
      <c r="K129" s="107" t="s">
        <v>187</v>
      </c>
      <c r="L129" s="107" t="s">
        <v>182</v>
      </c>
      <c r="M129" s="108" t="s">
        <v>184</v>
      </c>
      <c r="N129" s="108" t="s">
        <v>184</v>
      </c>
      <c r="O129" s="26">
        <f>SUM(O119:O128)</f>
        <v>51086</v>
      </c>
      <c r="P129" s="26">
        <f>SUM(P119:P128)</f>
        <v>49522</v>
      </c>
      <c r="Q129" s="26">
        <f>SUM(Q119:Q128)</f>
        <v>1564</v>
      </c>
      <c r="R129" s="27">
        <f t="shared" si="29"/>
        <v>3.1581923185654857E-2</v>
      </c>
      <c r="T129" s="26">
        <f>SUM(T119:T128)</f>
        <v>30272.14</v>
      </c>
      <c r="U129" s="26">
        <f>SUM(U119:U128)</f>
        <v>29808.469999999998</v>
      </c>
      <c r="V129" s="27">
        <f t="shared" si="30"/>
        <v>1.5554974810850806E-2</v>
      </c>
      <c r="W129" s="84"/>
      <c r="X129" s="68"/>
    </row>
    <row r="130" spans="1:36" ht="6.75" customHeight="1">
      <c r="A130" s="47">
        <v>115</v>
      </c>
      <c r="R130" s="7"/>
      <c r="W130" s="82"/>
      <c r="X130" s="66"/>
    </row>
    <row r="131" spans="1:36" ht="14.25" customHeight="1">
      <c r="A131" s="47">
        <v>116</v>
      </c>
      <c r="B131" s="4" t="s">
        <v>56</v>
      </c>
      <c r="N131" s="28"/>
      <c r="O131" s="28"/>
      <c r="P131" s="28"/>
      <c r="Q131" s="28"/>
      <c r="R131" s="7"/>
      <c r="W131" s="82"/>
      <c r="X131" s="66"/>
      <c r="Y131" s="42"/>
      <c r="AC131" s="510">
        <v>0.33300000000000002</v>
      </c>
      <c r="AD131" s="510">
        <v>0.33300000000000002</v>
      </c>
      <c r="AE131" s="510">
        <v>0.33400000000000002</v>
      </c>
      <c r="AG131" s="37">
        <f>+AC131</f>
        <v>0.33300000000000002</v>
      </c>
      <c r="AH131" s="37">
        <f>+AD131</f>
        <v>0.33300000000000002</v>
      </c>
      <c r="AI131" s="37">
        <f>+AE131</f>
        <v>0.33400000000000002</v>
      </c>
    </row>
    <row r="132" spans="1:36" ht="27.5" customHeight="1">
      <c r="A132" s="47">
        <v>117</v>
      </c>
      <c r="C132" s="279" t="s">
        <v>101</v>
      </c>
      <c r="D132" s="291"/>
      <c r="E132" s="352"/>
      <c r="F132" s="374">
        <v>52</v>
      </c>
      <c r="G132" s="352"/>
      <c r="H132" s="353">
        <f>+$F$79</f>
        <v>0.02</v>
      </c>
      <c r="I132" s="352">
        <v>17</v>
      </c>
      <c r="J132" s="354">
        <v>15.08</v>
      </c>
      <c r="K132" s="352">
        <v>52</v>
      </c>
      <c r="L132" s="278">
        <f>IF(M132=0,0,(+J132-M132)/M132)</f>
        <v>2.0297699594046058E-2</v>
      </c>
      <c r="M132" s="355">
        <v>14.78</v>
      </c>
      <c r="N132" s="355">
        <v>14.42</v>
      </c>
      <c r="O132" s="310">
        <f>ROUND(E132*F132*G132,0)</f>
        <v>0</v>
      </c>
      <c r="P132" s="310">
        <f>ROUND(I132*J132*K132,0)</f>
        <v>13331</v>
      </c>
      <c r="Q132" s="277">
        <f t="shared" ref="Q132:Q145" si="33">+O132-P132</f>
        <v>-13331</v>
      </c>
      <c r="R132" s="278">
        <f t="shared" ref="R132:R147" si="34">IF(P132=0,"NA",(+O132-P132)/P132)</f>
        <v>-1</v>
      </c>
      <c r="S132" s="279"/>
      <c r="T132" s="276">
        <v>0</v>
      </c>
      <c r="U132" s="276">
        <v>0</v>
      </c>
      <c r="V132" s="278">
        <v>46.81</v>
      </c>
      <c r="W132" s="280" t="str">
        <f>"Kim Saunders:  "&amp;Bud_Yr&amp;":  avg "&amp;E132&amp;" hrs/week at $"&amp;F132&amp;"/hr ("&amp;ROUND(H132*100,1)&amp;"% incr.) for "&amp;G132&amp;" weeks.                                         "&amp;Bud_Yr-1&amp;":  avg "&amp;I132&amp;" hrs/week at $"&amp;J132&amp;"/hr ("&amp;ROUND(L132*100,1)&amp;"% incr.) for "&amp;K132&amp;" weeks.   "&amp;Bud_Yr-2&amp;":  $"&amp;M132&amp;"/hr."</f>
        <v>Kim Saunders:  2019:  avg  hrs/week at $52/hr (2% incr.) for  weeks.                                         2018:  avg 17 hrs/week at $15.08/hr (2% incr.) for 52 weeks.   2017:  $14.78/hr.</v>
      </c>
      <c r="X132" s="76" t="s">
        <v>153</v>
      </c>
      <c r="Y132" s="52"/>
      <c r="AC132" s="1">
        <f>+$O132*AC$131</f>
        <v>0</v>
      </c>
      <c r="AD132" s="1">
        <f t="shared" ref="AD132:AE134" si="35">+$O132*AD$131</f>
        <v>0</v>
      </c>
      <c r="AE132" s="1">
        <f t="shared" si="35"/>
        <v>0</v>
      </c>
      <c r="AG132" s="1">
        <f>+$T132*AG$131</f>
        <v>0</v>
      </c>
      <c r="AH132" s="1">
        <f t="shared" ref="AH132:AI134" si="36">+$T132*AH$131</f>
        <v>0</v>
      </c>
      <c r="AI132" s="1">
        <f t="shared" si="36"/>
        <v>0</v>
      </c>
    </row>
    <row r="133" spans="1:36" ht="27.65" customHeight="1">
      <c r="C133" s="284" t="s">
        <v>223</v>
      </c>
      <c r="D133" s="294"/>
      <c r="E133" s="356">
        <v>40</v>
      </c>
      <c r="F133" s="357">
        <v>17</v>
      </c>
      <c r="G133" s="356">
        <v>52</v>
      </c>
      <c r="H133" s="326">
        <v>0</v>
      </c>
      <c r="I133" s="356"/>
      <c r="J133" s="296"/>
      <c r="K133" s="357"/>
      <c r="L133" s="283">
        <f>IF(M133=0,0,(+K133-M133)/M133)</f>
        <v>0</v>
      </c>
      <c r="M133" s="359"/>
      <c r="N133" s="349"/>
      <c r="O133" s="310">
        <f>ROUND(E133*F133*G133,0)</f>
        <v>35360</v>
      </c>
      <c r="P133" s="302">
        <v>0</v>
      </c>
      <c r="Q133" s="282">
        <f>+O133-P133</f>
        <v>35360</v>
      </c>
      <c r="R133" s="283" t="str">
        <f>IF(P133=0,"NA",(+O133-P133)/P133)</f>
        <v>NA</v>
      </c>
      <c r="S133" s="284"/>
      <c r="T133" s="281">
        <v>20406.810000000001</v>
      </c>
      <c r="U133" s="281">
        <v>20626.689999999999</v>
      </c>
      <c r="V133" s="283">
        <v>46.81</v>
      </c>
      <c r="W133" s="285" t="s">
        <v>310</v>
      </c>
      <c r="X133" s="76"/>
      <c r="Y133" s="52"/>
      <c r="AC133" s="1">
        <f t="shared" ref="AC133:AC134" si="37">+$O133*AC$131</f>
        <v>11774.880000000001</v>
      </c>
      <c r="AD133" s="1">
        <f t="shared" si="35"/>
        <v>11774.880000000001</v>
      </c>
      <c r="AE133" s="1">
        <f t="shared" si="35"/>
        <v>11810.24</v>
      </c>
      <c r="AG133" s="1">
        <f t="shared" ref="AG133:AG134" si="38">+$T133*AG$131</f>
        <v>6795.4677300000012</v>
      </c>
      <c r="AH133" s="1">
        <f t="shared" si="36"/>
        <v>6795.4677300000012</v>
      </c>
      <c r="AI133" s="1">
        <f t="shared" si="36"/>
        <v>6815.8745400000007</v>
      </c>
    </row>
    <row r="134" spans="1:36">
      <c r="A134" s="47">
        <v>122</v>
      </c>
      <c r="C134" s="284" t="s">
        <v>225</v>
      </c>
      <c r="D134" s="294"/>
      <c r="E134" s="356"/>
      <c r="F134" s="360"/>
      <c r="G134" s="356"/>
      <c r="H134" s="361"/>
      <c r="I134" s="356"/>
      <c r="J134" s="357"/>
      <c r="K134" s="356"/>
      <c r="L134" s="283"/>
      <c r="M134" s="359"/>
      <c r="N134" s="282"/>
      <c r="O134" s="302">
        <v>1000</v>
      </c>
      <c r="P134" s="302">
        <v>0</v>
      </c>
      <c r="Q134" s="282">
        <f>+O134-P134</f>
        <v>1000</v>
      </c>
      <c r="R134" s="283" t="str">
        <f>IF(P134=0,"NA",(+O134-P134)/P134)</f>
        <v>NA</v>
      </c>
      <c r="S134" s="284"/>
      <c r="T134" s="281">
        <v>369.51</v>
      </c>
      <c r="U134" s="281">
        <v>583.30999999999995</v>
      </c>
      <c r="V134" s="283">
        <f>IF(U134=0,"NA",(+T134-U134)/U134)</f>
        <v>-0.36652894687216053</v>
      </c>
      <c r="W134" s="285" t="s">
        <v>242</v>
      </c>
      <c r="X134" s="69" t="s">
        <v>130</v>
      </c>
      <c r="Y134" s="52"/>
      <c r="AC134" s="1">
        <f t="shared" si="37"/>
        <v>333</v>
      </c>
      <c r="AD134" s="1">
        <f t="shared" si="35"/>
        <v>333</v>
      </c>
      <c r="AE134" s="1">
        <f t="shared" si="35"/>
        <v>334</v>
      </c>
      <c r="AG134" s="1">
        <f t="shared" si="38"/>
        <v>123.04683</v>
      </c>
      <c r="AH134" s="1">
        <f t="shared" si="36"/>
        <v>123.04683</v>
      </c>
      <c r="AI134" s="1">
        <f t="shared" si="36"/>
        <v>123.41634000000001</v>
      </c>
    </row>
    <row r="135" spans="1:36" ht="29.4" customHeight="1">
      <c r="A135" s="47">
        <v>118</v>
      </c>
      <c r="C135" s="284" t="s">
        <v>58</v>
      </c>
      <c r="D135" s="294"/>
      <c r="E135" s="362">
        <v>25</v>
      </c>
      <c r="F135" s="360">
        <f>ROUND(+J135*(1+H135),2)</f>
        <v>13.37</v>
      </c>
      <c r="G135" s="356">
        <v>52</v>
      </c>
      <c r="H135" s="358">
        <f>+$F$79</f>
        <v>0.02</v>
      </c>
      <c r="I135" s="356">
        <v>25</v>
      </c>
      <c r="J135" s="357">
        <v>13.11</v>
      </c>
      <c r="K135" s="356">
        <v>52</v>
      </c>
      <c r="L135" s="283">
        <f>IF(M135=0,0,(+J135-M135)/M135)</f>
        <v>2.0233463035019439E-2</v>
      </c>
      <c r="M135" s="359">
        <v>12.85</v>
      </c>
      <c r="N135" s="349"/>
      <c r="O135" s="318">
        <f>ROUND((E135*F135*G135)+(E136*F136*G136)+(E137*F137*G137),0)</f>
        <v>33465</v>
      </c>
      <c r="P135" s="318">
        <f>ROUND((I135*J135*K135)+(I136*J136*K136)+(I137*J137*K137),0)</f>
        <v>33288</v>
      </c>
      <c r="Q135" s="282">
        <f t="shared" si="33"/>
        <v>177</v>
      </c>
      <c r="R135" s="283">
        <f t="shared" si="34"/>
        <v>5.3172314347512614E-3</v>
      </c>
      <c r="S135" s="284"/>
      <c r="T135" s="302">
        <v>20620.419999999998</v>
      </c>
      <c r="U135" s="281">
        <v>19521.25</v>
      </c>
      <c r="V135" s="283">
        <f t="shared" ref="V135:V147" si="39">IF(U135=0,"NA",(+T135-U135)/U135)</f>
        <v>5.6306332842415228E-2</v>
      </c>
      <c r="W135" s="285" t="str">
        <f>"Mark Henkel:  "&amp;Bud_Yr&amp;":  avg "&amp;E135&amp;" hrs/week at $"&amp;F135&amp;"/hr ("&amp;ROUND(H135*100,1)&amp;"% incr.) for "&amp;G135&amp;" weeks.                                       "&amp;Bud_Yr-1&amp;":  avg "&amp;I135&amp;" hrs/week at $"&amp;J135&amp;"/hr ("&amp;ROUND(L135*100,1)&amp;"% incr.) for "&amp;K135&amp;" weeks.   "</f>
        <v xml:space="preserve">Mark Henkel:  2019:  avg 25 hrs/week at $13.37/hr (2% incr.) for 52 weeks.                                       2018:  avg 25 hrs/week at $13.11/hr (2% incr.) for 52 weeks.   </v>
      </c>
      <c r="X135" s="65" t="s">
        <v>132</v>
      </c>
      <c r="Z135" s="87"/>
      <c r="AF135" s="1">
        <f>+$O135</f>
        <v>33465</v>
      </c>
      <c r="AJ135" s="1">
        <f>+$T135</f>
        <v>20620.419999999998</v>
      </c>
    </row>
    <row r="136" spans="1:36" ht="29">
      <c r="C136" s="284"/>
      <c r="D136" s="294"/>
      <c r="E136" s="362">
        <v>20</v>
      </c>
      <c r="F136" s="360">
        <f>ROUND(+J136*(1+H136),2)</f>
        <v>11.34</v>
      </c>
      <c r="G136" s="356">
        <v>52</v>
      </c>
      <c r="H136" s="358">
        <f>+$F$79</f>
        <v>0.02</v>
      </c>
      <c r="I136" s="356">
        <v>20</v>
      </c>
      <c r="J136" s="357">
        <v>11.12</v>
      </c>
      <c r="K136" s="356">
        <v>52</v>
      </c>
      <c r="L136" s="283">
        <f>IF(M136=0,0,(+J136-M136)/M136)</f>
        <v>2.0183486238532004E-2</v>
      </c>
      <c r="M136" s="357">
        <v>10.9</v>
      </c>
      <c r="N136" s="359">
        <v>10.7</v>
      </c>
      <c r="O136" s="318"/>
      <c r="P136" s="318"/>
      <c r="Q136" s="282"/>
      <c r="R136" s="283"/>
      <c r="S136" s="284"/>
      <c r="T136" s="302"/>
      <c r="U136" s="281"/>
      <c r="V136" s="283"/>
      <c r="W136" s="285" t="str">
        <f>"Rebecca Arreola:  "&amp;Bud_Yr&amp;":  avg "&amp;E136&amp;" hrs/week at $"&amp;F136&amp;"/hr ("&amp;ROUND(H136*100,1)&amp;"% incr.) for "&amp;G136&amp;" weeks.                                    "&amp;Bud_Yr-1&amp;":  avg "&amp;I136&amp;" hrs/week at $"&amp;J136&amp;"/hr ("&amp;ROUND(L136*100,1)&amp;"% incr.) for "&amp;K136&amp;" weeks.   "&amp;Bud_Yr-2&amp;":  $"&amp;M136&amp;"/hour."</f>
        <v>Rebecca Arreola:  2019:  avg 20 hrs/week at $11.34/hr (2% incr.) for 52 weeks.                                    2018:  avg 20 hrs/week at $11.12/hr (2% incr.) for 52 weeks.   2017:  $10.9/hour.</v>
      </c>
      <c r="X136" s="65"/>
      <c r="Y136" s="28"/>
      <c r="Z136" s="87"/>
    </row>
    <row r="137" spans="1:36" ht="29">
      <c r="C137" s="284"/>
      <c r="D137" s="294"/>
      <c r="E137" s="362">
        <v>7.5</v>
      </c>
      <c r="F137" s="357">
        <v>11</v>
      </c>
      <c r="G137" s="356">
        <v>52</v>
      </c>
      <c r="H137" s="361">
        <v>0</v>
      </c>
      <c r="I137" s="362">
        <v>8</v>
      </c>
      <c r="J137" s="357">
        <v>11.25</v>
      </c>
      <c r="K137" s="356">
        <v>52</v>
      </c>
      <c r="L137" s="283">
        <f>IF(M137=0,0,(+J137-M137)/M137)</f>
        <v>0</v>
      </c>
      <c r="M137" s="357">
        <v>11.25</v>
      </c>
      <c r="N137" s="359">
        <v>7.77</v>
      </c>
      <c r="O137" s="318"/>
      <c r="P137" s="318"/>
      <c r="Q137" s="282"/>
      <c r="R137" s="283"/>
      <c r="S137" s="284"/>
      <c r="T137" s="302"/>
      <c r="U137" s="281"/>
      <c r="V137" s="283"/>
      <c r="W137" s="285" t="str">
        <f>"New for "&amp;Bud_Yr&amp;":  avg "&amp;E137&amp;" hrs/week at $"&amp;F137&amp;"/hr ("&amp;ROUND(H137*100,1)&amp;"% incr.) for "&amp;G137&amp;" weeks.   Was Del Alton for                                                  "&amp;Bud_Yr-1&amp;":  avg "&amp;I137&amp;" hrs/week at $"&amp;J137&amp;"/hr ("&amp;ROUND(L137*100,1)&amp;"% incr.) for "&amp;K137&amp;" weeks.   "&amp;Bud_Yr-2&amp;":  $"&amp;M137&amp;"/hour."</f>
        <v>New for 2019:  avg 7.5 hrs/week at $11/hr (0% incr.) for 52 weeks.   Was Del Alton for                                                  2018:  avg 8 hrs/week at $11.25/hr (0% incr.) for 52 weeks.   2017:  $11.25/hour.</v>
      </c>
      <c r="X137" s="65"/>
      <c r="Y137" s="28"/>
      <c r="Z137" s="87"/>
    </row>
    <row r="138" spans="1:36">
      <c r="A138" s="47">
        <v>119</v>
      </c>
      <c r="C138" s="284" t="s">
        <v>59</v>
      </c>
      <c r="D138" s="294"/>
      <c r="E138" s="295"/>
      <c r="F138" s="296"/>
      <c r="G138" s="296"/>
      <c r="H138" s="296"/>
      <c r="I138" s="296"/>
      <c r="J138" s="296"/>
      <c r="K138" s="296"/>
      <c r="L138" s="296"/>
      <c r="M138" s="296"/>
      <c r="N138" s="284"/>
      <c r="O138" s="302">
        <v>400</v>
      </c>
      <c r="P138" s="281">
        <v>400</v>
      </c>
      <c r="Q138" s="282">
        <f t="shared" si="33"/>
        <v>0</v>
      </c>
      <c r="R138" s="283">
        <f t="shared" si="34"/>
        <v>0</v>
      </c>
      <c r="S138" s="284"/>
      <c r="T138" s="281">
        <v>1000</v>
      </c>
      <c r="U138" s="281">
        <v>233.31</v>
      </c>
      <c r="V138" s="283">
        <f t="shared" si="39"/>
        <v>3.2861429000042865</v>
      </c>
      <c r="W138" s="285"/>
      <c r="X138" s="69"/>
      <c r="Z138" s="87"/>
      <c r="AC138" s="1">
        <f t="shared" ref="AC138:AE139" si="40">+$O138*AC$131</f>
        <v>133.20000000000002</v>
      </c>
      <c r="AD138" s="1">
        <f t="shared" si="40"/>
        <v>133.20000000000002</v>
      </c>
      <c r="AE138" s="1">
        <f t="shared" si="40"/>
        <v>133.6</v>
      </c>
      <c r="AG138" s="1">
        <f t="shared" ref="AG138:AI139" si="41">+$T138*AG$131</f>
        <v>333</v>
      </c>
      <c r="AH138" s="1">
        <f t="shared" si="41"/>
        <v>333</v>
      </c>
      <c r="AI138" s="1">
        <f t="shared" si="41"/>
        <v>334</v>
      </c>
    </row>
    <row r="139" spans="1:36">
      <c r="A139" s="47">
        <v>120</v>
      </c>
      <c r="C139" s="284" t="s">
        <v>104</v>
      </c>
      <c r="D139" s="294"/>
      <c r="E139" s="295"/>
      <c r="F139" s="296"/>
      <c r="G139" s="296"/>
      <c r="H139" s="296"/>
      <c r="I139" s="296"/>
      <c r="J139" s="296"/>
      <c r="K139" s="296"/>
      <c r="L139" s="296"/>
      <c r="M139" s="296"/>
      <c r="N139" s="284"/>
      <c r="O139" s="302">
        <f>700</f>
        <v>700</v>
      </c>
      <c r="P139" s="281">
        <v>700</v>
      </c>
      <c r="Q139" s="282">
        <f t="shared" si="33"/>
        <v>0</v>
      </c>
      <c r="R139" s="283">
        <f t="shared" si="34"/>
        <v>0</v>
      </c>
      <c r="S139" s="284"/>
      <c r="T139" s="281">
        <v>0</v>
      </c>
      <c r="U139" s="281">
        <v>408.31</v>
      </c>
      <c r="V139" s="283">
        <f t="shared" si="39"/>
        <v>-1</v>
      </c>
      <c r="W139" s="285"/>
      <c r="X139" s="69"/>
      <c r="Z139" s="87"/>
      <c r="AC139" s="1">
        <f t="shared" si="40"/>
        <v>233.10000000000002</v>
      </c>
      <c r="AD139" s="1">
        <f t="shared" si="40"/>
        <v>233.10000000000002</v>
      </c>
      <c r="AE139" s="1">
        <f t="shared" si="40"/>
        <v>233.8</v>
      </c>
      <c r="AG139" s="1">
        <f t="shared" si="41"/>
        <v>0</v>
      </c>
      <c r="AH139" s="1">
        <f t="shared" si="41"/>
        <v>0</v>
      </c>
      <c r="AI139" s="1">
        <f t="shared" si="41"/>
        <v>0</v>
      </c>
    </row>
    <row r="140" spans="1:36" ht="14" customHeight="1">
      <c r="C140" s="284" t="s">
        <v>123</v>
      </c>
      <c r="D140" s="294"/>
      <c r="E140" s="295"/>
      <c r="F140" s="296"/>
      <c r="G140" s="296"/>
      <c r="H140" s="363"/>
      <c r="I140" s="363"/>
      <c r="J140" s="363"/>
      <c r="K140" s="363"/>
      <c r="L140" s="363"/>
      <c r="M140" s="363"/>
      <c r="N140" s="364"/>
      <c r="O140" s="318">
        <f>+'Band Estimate'!C72</f>
        <v>925</v>
      </c>
      <c r="P140" s="281">
        <v>1000</v>
      </c>
      <c r="Q140" s="282">
        <f t="shared" si="33"/>
        <v>-75</v>
      </c>
      <c r="R140" s="283">
        <f>IF(P140=0,"NA",(+O140-P140)/P140)</f>
        <v>-7.4999999999999997E-2</v>
      </c>
      <c r="S140" s="284"/>
      <c r="T140" s="281">
        <v>200</v>
      </c>
      <c r="U140" s="281">
        <v>539.55999999999995</v>
      </c>
      <c r="V140" s="283">
        <f>IF(U140=0,"NA",(+T140-U140)/U140)</f>
        <v>-0.62932760026688406</v>
      </c>
      <c r="W140" s="285" t="s">
        <v>181</v>
      </c>
      <c r="X140" s="65" t="s">
        <v>146</v>
      </c>
      <c r="Z140" s="87"/>
      <c r="AC140" s="1">
        <f t="shared" ref="AC140" si="42">+$O140</f>
        <v>925</v>
      </c>
      <c r="AG140" s="1">
        <f t="shared" ref="AG140" si="43">+$T140</f>
        <v>200</v>
      </c>
    </row>
    <row r="141" spans="1:36" ht="29">
      <c r="C141" s="284" t="s">
        <v>189</v>
      </c>
      <c r="D141" s="294"/>
      <c r="E141" s="356"/>
      <c r="F141" s="360">
        <f>ROUND(+J141*(1+H141),2)</f>
        <v>14.64</v>
      </c>
      <c r="G141" s="356"/>
      <c r="H141" s="358">
        <f>+$F$79</f>
        <v>0.02</v>
      </c>
      <c r="I141" s="356">
        <v>27</v>
      </c>
      <c r="J141" s="357">
        <v>14.35</v>
      </c>
      <c r="K141" s="356">
        <v>52</v>
      </c>
      <c r="L141" s="283">
        <f>IF(M141=0,0,(+J141-M141)/M141)</f>
        <v>2.4999999999999974E-2</v>
      </c>
      <c r="M141" s="357">
        <v>14</v>
      </c>
      <c r="N141" s="359">
        <v>12.12</v>
      </c>
      <c r="O141" s="318">
        <f>ROUND(E141*F141*G141,0)</f>
        <v>0</v>
      </c>
      <c r="P141" s="318">
        <f>ROUND(+I141*J141*K141,0)</f>
        <v>20147</v>
      </c>
      <c r="Q141" s="282">
        <f>+O141-P141</f>
        <v>-20147</v>
      </c>
      <c r="R141" s="283">
        <f>IF(P141=0,"NA",(+O141-P141)/P141)</f>
        <v>-1</v>
      </c>
      <c r="S141" s="284"/>
      <c r="T141" s="281">
        <v>0</v>
      </c>
      <c r="U141" s="281">
        <v>0</v>
      </c>
      <c r="V141" s="283" t="str">
        <f>IF(U141=0,"NA",(+T141-U141)/U141)</f>
        <v>NA</v>
      </c>
      <c r="W141" s="285" t="str">
        <f>"Debbie Toff:  "&amp;Bud_Yr&amp;":  avg "&amp;E141&amp;" hrs/week at $"&amp;F141&amp;"/hr ("&amp;ROUND(H141*100,1)&amp;"% incr.) for "&amp;G141&amp;" weeks.                              "&amp;Bud_Yr-1&amp;":  avg "&amp;I141&amp;" hrs/week at $"&amp;J141&amp;"/hr ("&amp;ROUND(L141*100,1)&amp;"% incr.) for "&amp;K141&amp;" weeks.   "&amp;Bud_Yr-2&amp;":  $"&amp;M141&amp;"/hour."</f>
        <v>Debbie Toff:  2019:  avg  hrs/week at $14.64/hr (2% incr.) for  weeks.                              2018:  avg 27 hrs/week at $14.35/hr (2.5% incr.) for 52 weeks.   2017:  $14/hour.</v>
      </c>
      <c r="X141" s="69"/>
      <c r="Y141" s="52"/>
      <c r="AC141" s="1">
        <f>+$O141*AC$131</f>
        <v>0</v>
      </c>
      <c r="AD141" s="1">
        <f t="shared" ref="AD141:AE144" si="44">+$O141*AD$131</f>
        <v>0</v>
      </c>
      <c r="AE141" s="1">
        <f t="shared" si="44"/>
        <v>0</v>
      </c>
      <c r="AG141" s="1">
        <f>+$T141*AG$131</f>
        <v>0</v>
      </c>
      <c r="AH141" s="1">
        <f t="shared" ref="AH141:AI144" si="45">+$T141*AH$131</f>
        <v>0</v>
      </c>
      <c r="AI141" s="1">
        <f t="shared" si="45"/>
        <v>0</v>
      </c>
    </row>
    <row r="142" spans="1:36" ht="29">
      <c r="C142" s="544" t="s">
        <v>224</v>
      </c>
      <c r="D142" s="544"/>
      <c r="E142" s="356">
        <v>15</v>
      </c>
      <c r="F142" s="360">
        <f>ROUND(+J142*(1+H142),2)</f>
        <v>14.28</v>
      </c>
      <c r="G142" s="356">
        <v>52</v>
      </c>
      <c r="H142" s="358">
        <f>+$F$79</f>
        <v>0.02</v>
      </c>
      <c r="I142" s="356">
        <v>15</v>
      </c>
      <c r="J142" s="357">
        <v>14</v>
      </c>
      <c r="K142" s="356">
        <v>52</v>
      </c>
      <c r="L142" s="283">
        <f>IF(M142=0,0,(+J142-M142)/M142)</f>
        <v>0</v>
      </c>
      <c r="M142" s="357">
        <v>14</v>
      </c>
      <c r="N142" s="284"/>
      <c r="O142" s="365">
        <f>ROUND(+E142*F142*G142,0)</f>
        <v>11138</v>
      </c>
      <c r="P142" s="318">
        <f>ROUND(+I142*J142*K142,0)</f>
        <v>10920</v>
      </c>
      <c r="Q142" s="282">
        <f>+O142-P142</f>
        <v>218</v>
      </c>
      <c r="R142" s="283">
        <f>IF(P142=0,"NA",(+O142-P142)/P142)</f>
        <v>1.9963369963369962E-2</v>
      </c>
      <c r="S142" s="284"/>
      <c r="T142" s="281">
        <v>8011.57</v>
      </c>
      <c r="U142" s="281">
        <v>6497.19</v>
      </c>
      <c r="V142" s="283">
        <f>IF(U142=0,"NA",(+T142-U142)/U142)</f>
        <v>0.23308230173351868</v>
      </c>
      <c r="W142" s="285" t="str">
        <f>"Heather Keszler:  "&amp;Bud_Yr&amp;":  avg "&amp;E142&amp;" hrs/week at $"&amp;F142&amp;"/hr ("&amp;ROUND(H142*100,1)&amp;"% incr.) for "&amp;G142&amp;" weeks.                       "&amp;Bud_Yr-1&amp;":  avg "&amp;I142&amp;" hrs/week at $"&amp;J142&amp;"/hr ("&amp;ROUND(L142*100,1)&amp;"% incr.) for "&amp;K142&amp;" weeks.   "</f>
        <v xml:space="preserve">Heather Keszler:  2019:  avg 15 hrs/week at $14.28/hr (2% incr.) for 52 weeks.                       2018:  avg 15 hrs/week at $14/hr (0% incr.) for 52 weeks.   </v>
      </c>
      <c r="X142" s="66"/>
      <c r="AC142" s="1">
        <f>+$O142*AC$131</f>
        <v>3708.9540000000002</v>
      </c>
      <c r="AD142" s="1">
        <f t="shared" si="44"/>
        <v>3708.9540000000002</v>
      </c>
      <c r="AE142" s="1">
        <f t="shared" si="44"/>
        <v>3720.0920000000001</v>
      </c>
      <c r="AG142" s="1">
        <f>+$T142*AG$131</f>
        <v>2667.8528099999999</v>
      </c>
      <c r="AH142" s="1">
        <f t="shared" si="45"/>
        <v>2667.8528099999999</v>
      </c>
      <c r="AI142" s="1">
        <f t="shared" si="45"/>
        <v>2675.86438</v>
      </c>
    </row>
    <row r="143" spans="1:36" ht="14.5" customHeight="1">
      <c r="A143" s="47">
        <v>123</v>
      </c>
      <c r="C143" s="284" t="s">
        <v>60</v>
      </c>
      <c r="D143" s="294"/>
      <c r="E143" s="366" t="e">
        <f>+O91+O100+#REF!+O106+O116+O129+O132+O133+O134+O135+O138+O139+O140+O142+O145</f>
        <v>#REF!</v>
      </c>
      <c r="F143" s="366"/>
      <c r="G143" s="366"/>
      <c r="H143" s="366"/>
      <c r="I143" s="366" t="e">
        <f>+P91+P100+#REF!+P106+P116+P129+P132+P133+P134+P135+P138+P139+P140+P142+P145</f>
        <v>#REF!</v>
      </c>
      <c r="J143" s="367"/>
      <c r="K143" s="368"/>
      <c r="L143" s="368"/>
      <c r="M143" s="369">
        <v>7.6499999999999999E-2</v>
      </c>
      <c r="N143" s="284"/>
      <c r="O143" s="318">
        <f>ROUND((+O94+O104+O105+O109+O129+O132+O133+131+O135+O140+O141+O145)*M143,0)</f>
        <v>14502</v>
      </c>
      <c r="P143" s="318">
        <f>ROUND((+P81+P94+P104+P105+P109+P132+P135+P141+P142+P140+P126+P119+P125+P127)*M143,0)</f>
        <v>17798</v>
      </c>
      <c r="Q143" s="282">
        <f t="shared" si="33"/>
        <v>-3296</v>
      </c>
      <c r="R143" s="283">
        <f t="shared" si="34"/>
        <v>-0.18518934711765367</v>
      </c>
      <c r="S143" s="284"/>
      <c r="T143" s="302">
        <v>6727.79</v>
      </c>
      <c r="U143" s="302">
        <v>8369.25</v>
      </c>
      <c r="V143" s="283">
        <f t="shared" si="39"/>
        <v>-0.1961298802162679</v>
      </c>
      <c r="W143" s="350" t="s">
        <v>268</v>
      </c>
      <c r="X143" s="69" t="s">
        <v>147</v>
      </c>
      <c r="AC143" s="1">
        <f t="shared" ref="AC143:AC144" si="46">+$O143*AC$131</f>
        <v>4829.1660000000002</v>
      </c>
      <c r="AD143" s="1">
        <f t="shared" si="44"/>
        <v>4829.1660000000002</v>
      </c>
      <c r="AE143" s="1">
        <f t="shared" si="44"/>
        <v>4843.6680000000006</v>
      </c>
      <c r="AG143" s="1">
        <f t="shared" ref="AG143:AG144" si="47">+$T143*AG$131</f>
        <v>2240.3540700000003</v>
      </c>
      <c r="AH143" s="1">
        <f t="shared" si="45"/>
        <v>2240.3540700000003</v>
      </c>
      <c r="AI143" s="1">
        <f t="shared" si="45"/>
        <v>2247.0818600000002</v>
      </c>
    </row>
    <row r="144" spans="1:36" ht="14.4" customHeight="1">
      <c r="A144" s="47">
        <v>124</v>
      </c>
      <c r="C144" s="284" t="s">
        <v>61</v>
      </c>
      <c r="D144" s="294"/>
      <c r="E144" s="298"/>
      <c r="F144" s="467"/>
      <c r="G144" s="467"/>
      <c r="H144" s="467"/>
      <c r="I144" s="299"/>
      <c r="J144" s="299"/>
      <c r="K144" s="299"/>
      <c r="L144" s="299"/>
      <c r="M144" s="299"/>
      <c r="N144" s="289"/>
      <c r="O144" s="302">
        <v>3384</v>
      </c>
      <c r="P144" s="281">
        <v>3115</v>
      </c>
      <c r="Q144" s="282">
        <f t="shared" si="33"/>
        <v>269</v>
      </c>
      <c r="R144" s="283">
        <f t="shared" si="34"/>
        <v>8.6356340288924555E-2</v>
      </c>
      <c r="S144" s="284"/>
      <c r="T144" s="302">
        <v>1581.84</v>
      </c>
      <c r="U144" s="302">
        <v>2538</v>
      </c>
      <c r="V144" s="283">
        <f t="shared" si="39"/>
        <v>-0.3767375886524823</v>
      </c>
      <c r="W144" s="280" t="s">
        <v>301</v>
      </c>
      <c r="X144" s="69" t="s">
        <v>148</v>
      </c>
      <c r="AC144" s="1">
        <f t="shared" si="46"/>
        <v>1126.8720000000001</v>
      </c>
      <c r="AD144" s="1">
        <f t="shared" si="44"/>
        <v>1126.8720000000001</v>
      </c>
      <c r="AE144" s="1">
        <f t="shared" si="44"/>
        <v>1130.2560000000001</v>
      </c>
      <c r="AG144" s="1">
        <f t="shared" si="47"/>
        <v>526.75271999999995</v>
      </c>
      <c r="AH144" s="1">
        <f t="shared" si="45"/>
        <v>526.75271999999995</v>
      </c>
      <c r="AI144" s="1">
        <f t="shared" si="45"/>
        <v>528.33456000000001</v>
      </c>
    </row>
    <row r="145" spans="1:36">
      <c r="A145" s="47">
        <v>125</v>
      </c>
      <c r="C145" s="284" t="s">
        <v>62</v>
      </c>
      <c r="D145" s="294"/>
      <c r="O145" s="61">
        <v>2000</v>
      </c>
      <c r="P145" s="59">
        <v>2000</v>
      </c>
      <c r="Q145" s="40">
        <f t="shared" si="33"/>
        <v>0</v>
      </c>
      <c r="R145" s="6">
        <f t="shared" si="34"/>
        <v>0</v>
      </c>
      <c r="T145" s="61">
        <v>400</v>
      </c>
      <c r="U145" s="61">
        <v>1166.69</v>
      </c>
      <c r="V145" s="6">
        <f t="shared" si="39"/>
        <v>-0.65714971414857415</v>
      </c>
      <c r="W145" s="280" t="s">
        <v>188</v>
      </c>
      <c r="X145" s="65"/>
      <c r="AC145" s="1">
        <f t="shared" ref="AC145" si="48">+$O145</f>
        <v>2000</v>
      </c>
      <c r="AG145" s="1">
        <f t="shared" ref="AG145" si="49">+$T145</f>
        <v>400</v>
      </c>
    </row>
    <row r="146" spans="1:36" s="4" customFormat="1">
      <c r="A146" s="47">
        <v>127</v>
      </c>
      <c r="B146" s="26" t="s">
        <v>57</v>
      </c>
      <c r="C146" s="26"/>
      <c r="D146" s="26"/>
      <c r="E146" s="98"/>
      <c r="F146" s="98"/>
      <c r="G146" s="98"/>
      <c r="H146" s="98"/>
      <c r="I146" s="98"/>
      <c r="J146" s="98"/>
      <c r="K146" s="98"/>
      <c r="L146" s="98"/>
      <c r="M146" s="98"/>
      <c r="N146" s="26"/>
      <c r="O146" s="26">
        <f>SUM(O132:O145)</f>
        <v>102874</v>
      </c>
      <c r="P146" s="26">
        <f>SUM(P132:P145)</f>
        <v>102699</v>
      </c>
      <c r="Q146" s="26">
        <f>SUM(Q132:Q145)</f>
        <v>175</v>
      </c>
      <c r="R146" s="27">
        <f t="shared" si="34"/>
        <v>1.7040088024226137E-3</v>
      </c>
      <c r="T146" s="26">
        <f>SUM(T132:T145)</f>
        <v>59317.939999999995</v>
      </c>
      <c r="U146" s="26">
        <f>SUM(U132:U145)</f>
        <v>60483.56</v>
      </c>
      <c r="V146" s="27">
        <f t="shared" si="39"/>
        <v>-1.9271683082146662E-2</v>
      </c>
      <c r="W146" s="84"/>
      <c r="X146" s="68"/>
    </row>
    <row r="147" spans="1:36">
      <c r="A147" s="47">
        <v>128</v>
      </c>
      <c r="B147" s="26" t="s">
        <v>63</v>
      </c>
      <c r="C147" s="26"/>
      <c r="D147" s="26"/>
      <c r="E147" s="98"/>
      <c r="F147" s="27"/>
      <c r="G147" s="27"/>
      <c r="H147" s="27"/>
      <c r="I147" s="27"/>
      <c r="J147" s="27"/>
      <c r="K147" s="27"/>
      <c r="L147" s="27"/>
      <c r="M147" s="27"/>
      <c r="N147" s="36"/>
      <c r="O147" s="26">
        <f>+O91+O100+O106+O116+O129+O146</f>
        <v>326301.38049999997</v>
      </c>
      <c r="P147" s="26">
        <f>+P91+P100+P106+P116+P129+P146</f>
        <v>315800.84341041668</v>
      </c>
      <c r="Q147" s="26">
        <f>+Q91+Q100+Q106+Q116+Q129+Q146</f>
        <v>10500.537089583326</v>
      </c>
      <c r="R147" s="27">
        <f t="shared" si="34"/>
        <v>3.3250503628125934E-2</v>
      </c>
      <c r="T147" s="26">
        <f>+T91+T100+T106+T116+T129+T146</f>
        <v>187777.38</v>
      </c>
      <c r="U147" s="26">
        <f>+U91+U100+U106+U116+U129+U146</f>
        <v>190744.28</v>
      </c>
      <c r="V147" s="27">
        <f t="shared" si="39"/>
        <v>-1.5554332743293766E-2</v>
      </c>
      <c r="W147" s="82"/>
      <c r="X147" s="66"/>
    </row>
    <row r="148" spans="1:36" ht="8.25" customHeight="1">
      <c r="A148" s="47">
        <v>129</v>
      </c>
      <c r="R148" s="7"/>
      <c r="W148" s="82"/>
      <c r="X148" s="66"/>
    </row>
    <row r="149" spans="1:36" ht="18.5">
      <c r="A149" s="47">
        <v>130</v>
      </c>
      <c r="B149" s="9" t="s">
        <v>64</v>
      </c>
      <c r="R149" s="7"/>
      <c r="W149" s="82"/>
      <c r="X149" s="66"/>
    </row>
    <row r="150" spans="1:36">
      <c r="A150" s="47">
        <v>131</v>
      </c>
      <c r="B150" s="4" t="s">
        <v>65</v>
      </c>
      <c r="R150" s="7"/>
      <c r="W150" s="82"/>
      <c r="X150" s="66"/>
    </row>
    <row r="151" spans="1:36" ht="14.4" customHeight="1">
      <c r="A151" s="47">
        <v>132</v>
      </c>
      <c r="C151" s="284" t="s">
        <v>67</v>
      </c>
      <c r="D151" s="294"/>
      <c r="O151" s="304">
        <f>+P151*1.25</f>
        <v>10500</v>
      </c>
      <c r="P151" s="304">
        <v>8400</v>
      </c>
      <c r="Q151" s="277">
        <f t="shared" ref="Q151:Q157" si="50">+O151-P151</f>
        <v>2100</v>
      </c>
      <c r="R151" s="278">
        <f t="shared" ref="R151:R158" si="51">IF(P151=0,"NA",(+O151-P151)/P151)</f>
        <v>0.25</v>
      </c>
      <c r="S151" s="279"/>
      <c r="T151" s="276">
        <v>6658.38</v>
      </c>
      <c r="U151" s="276">
        <v>6125</v>
      </c>
      <c r="V151" s="278">
        <f t="shared" ref="V151:V158" si="52">IF(U151=0,"NA",(+T151-U151)/U151)</f>
        <v>8.7082448979591859E-2</v>
      </c>
      <c r="W151" s="280"/>
      <c r="X151" s="65" t="s">
        <v>149</v>
      </c>
      <c r="AF151" s="1">
        <f t="shared" ref="AF151:AF157" si="53">+$O151</f>
        <v>10500</v>
      </c>
      <c r="AJ151" s="1">
        <f t="shared" ref="AJ151:AJ157" si="54">+$T151</f>
        <v>6658.38</v>
      </c>
    </row>
    <row r="152" spans="1:36" ht="14.4" customHeight="1">
      <c r="A152" s="47">
        <v>133</v>
      </c>
      <c r="C152" s="284" t="s">
        <v>68</v>
      </c>
      <c r="D152" s="294"/>
      <c r="O152" s="302">
        <f>+P152*(1+0.02)</f>
        <v>8160</v>
      </c>
      <c r="P152" s="302">
        <v>8000</v>
      </c>
      <c r="Q152" s="282">
        <f t="shared" si="50"/>
        <v>160</v>
      </c>
      <c r="R152" s="283">
        <f t="shared" si="51"/>
        <v>0.02</v>
      </c>
      <c r="S152" s="284"/>
      <c r="T152" s="281">
        <v>7105.19</v>
      </c>
      <c r="U152" s="281">
        <v>4760</v>
      </c>
      <c r="V152" s="283">
        <f t="shared" si="52"/>
        <v>0.49268697478991585</v>
      </c>
      <c r="W152" s="328"/>
      <c r="X152" s="73" t="s">
        <v>154</v>
      </c>
      <c r="AF152" s="1">
        <f t="shared" si="53"/>
        <v>8160</v>
      </c>
      <c r="AJ152" s="1">
        <f t="shared" si="54"/>
        <v>7105.19</v>
      </c>
    </row>
    <row r="153" spans="1:36" ht="28" customHeight="1">
      <c r="A153" s="47">
        <v>134</v>
      </c>
      <c r="C153" s="284" t="s">
        <v>69</v>
      </c>
      <c r="D153" s="294"/>
      <c r="N153" s="5"/>
      <c r="O153" s="281">
        <v>4500</v>
      </c>
      <c r="P153" s="281">
        <v>5000</v>
      </c>
      <c r="Q153" s="282">
        <f t="shared" si="50"/>
        <v>-500</v>
      </c>
      <c r="R153" s="283">
        <f t="shared" si="51"/>
        <v>-0.1</v>
      </c>
      <c r="S153" s="284"/>
      <c r="T153" s="281">
        <v>2386.88</v>
      </c>
      <c r="U153" s="281">
        <v>2625</v>
      </c>
      <c r="V153" s="283">
        <f t="shared" si="52"/>
        <v>-9.0712380952380905E-2</v>
      </c>
      <c r="W153" s="285" t="s">
        <v>243</v>
      </c>
      <c r="X153" s="72"/>
      <c r="AF153" s="1">
        <f t="shared" si="53"/>
        <v>4500</v>
      </c>
      <c r="AJ153" s="1">
        <f t="shared" si="54"/>
        <v>2386.88</v>
      </c>
    </row>
    <row r="154" spans="1:36" ht="14.4" customHeight="1">
      <c r="A154" s="47">
        <v>135</v>
      </c>
      <c r="C154" s="284" t="s">
        <v>70</v>
      </c>
      <c r="D154" s="294"/>
      <c r="O154" s="281">
        <f>+P154*(1+0.02)</f>
        <v>816</v>
      </c>
      <c r="P154" s="281">
        <v>800</v>
      </c>
      <c r="Q154" s="282">
        <f t="shared" si="50"/>
        <v>16</v>
      </c>
      <c r="R154" s="283">
        <f t="shared" si="51"/>
        <v>0.02</v>
      </c>
      <c r="S154" s="284"/>
      <c r="T154" s="281">
        <v>742.63</v>
      </c>
      <c r="U154" s="281">
        <v>612</v>
      </c>
      <c r="V154" s="283">
        <f t="shared" si="52"/>
        <v>0.21344771241830066</v>
      </c>
      <c r="W154" s="285"/>
      <c r="X154" s="65"/>
      <c r="AF154" s="1">
        <f t="shared" si="53"/>
        <v>816</v>
      </c>
      <c r="AJ154" s="1">
        <f t="shared" si="54"/>
        <v>742.63</v>
      </c>
    </row>
    <row r="155" spans="1:36" ht="14.4" customHeight="1">
      <c r="A155" s="47">
        <v>136</v>
      </c>
      <c r="C155" s="284" t="s">
        <v>71</v>
      </c>
      <c r="D155" s="294"/>
      <c r="O155" s="302">
        <v>300</v>
      </c>
      <c r="P155" s="302">
        <v>300</v>
      </c>
      <c r="Q155" s="282">
        <f t="shared" si="50"/>
        <v>0</v>
      </c>
      <c r="R155" s="283">
        <f t="shared" si="51"/>
        <v>0</v>
      </c>
      <c r="S155" s="284"/>
      <c r="T155" s="281">
        <v>263.39999999999998</v>
      </c>
      <c r="U155" s="281">
        <v>175</v>
      </c>
      <c r="V155" s="283">
        <f t="shared" si="52"/>
        <v>0.505142857142857</v>
      </c>
      <c r="W155" s="285" t="s">
        <v>244</v>
      </c>
      <c r="X155" s="73" t="s">
        <v>155</v>
      </c>
      <c r="AF155" s="1">
        <f t="shared" si="53"/>
        <v>300</v>
      </c>
      <c r="AJ155" s="1">
        <f t="shared" si="54"/>
        <v>263.39999999999998</v>
      </c>
    </row>
    <row r="156" spans="1:36" ht="14.4" customHeight="1">
      <c r="A156" s="47">
        <v>137</v>
      </c>
      <c r="C156" s="284" t="s">
        <v>72</v>
      </c>
      <c r="D156" s="294"/>
      <c r="H156" s="99"/>
      <c r="I156" s="99"/>
      <c r="J156" s="99"/>
      <c r="K156" s="99"/>
      <c r="L156" s="99"/>
      <c r="M156" s="99"/>
      <c r="O156" s="302">
        <f>50*12</f>
        <v>600</v>
      </c>
      <c r="P156" s="302">
        <v>2000</v>
      </c>
      <c r="Q156" s="282">
        <f t="shared" si="50"/>
        <v>-1400</v>
      </c>
      <c r="R156" s="283">
        <f t="shared" si="51"/>
        <v>-0.7</v>
      </c>
      <c r="S156" s="284"/>
      <c r="T156" s="281">
        <v>466.33</v>
      </c>
      <c r="U156" s="281">
        <v>350</v>
      </c>
      <c r="V156" s="283">
        <f t="shared" si="52"/>
        <v>0.33237142857142854</v>
      </c>
      <c r="W156" s="285" t="s">
        <v>304</v>
      </c>
      <c r="X156" s="69" t="s">
        <v>156</v>
      </c>
      <c r="AF156" s="1">
        <f t="shared" si="53"/>
        <v>600</v>
      </c>
      <c r="AJ156" s="1">
        <f t="shared" si="54"/>
        <v>466.33</v>
      </c>
    </row>
    <row r="157" spans="1:36" ht="14.4" customHeight="1">
      <c r="A157" s="47">
        <v>138</v>
      </c>
      <c r="C157" s="284" t="s">
        <v>110</v>
      </c>
      <c r="D157" s="294"/>
      <c r="O157" s="286">
        <v>4500</v>
      </c>
      <c r="P157" s="286">
        <v>4500</v>
      </c>
      <c r="Q157" s="287">
        <f t="shared" si="50"/>
        <v>0</v>
      </c>
      <c r="R157" s="288">
        <f t="shared" si="51"/>
        <v>0</v>
      </c>
      <c r="S157" s="289"/>
      <c r="T157" s="286">
        <v>3462.78</v>
      </c>
      <c r="U157" s="286">
        <v>3375</v>
      </c>
      <c r="V157" s="288">
        <f t="shared" si="52"/>
        <v>2.6008888888888949E-2</v>
      </c>
      <c r="W157" s="290"/>
      <c r="X157" s="65"/>
      <c r="AF157" s="1">
        <f t="shared" si="53"/>
        <v>4500</v>
      </c>
      <c r="AJ157" s="1">
        <f t="shared" si="54"/>
        <v>3462.78</v>
      </c>
    </row>
    <row r="158" spans="1:36" s="4" customFormat="1">
      <c r="A158" s="47">
        <v>139</v>
      </c>
      <c r="B158" s="29" t="s">
        <v>73</v>
      </c>
      <c r="C158" s="29"/>
      <c r="D158" s="29"/>
      <c r="E158" s="100"/>
      <c r="F158" s="100"/>
      <c r="G158" s="100"/>
      <c r="H158" s="100"/>
      <c r="I158" s="100"/>
      <c r="J158" s="100"/>
      <c r="K158" s="100"/>
      <c r="L158" s="100"/>
      <c r="M158" s="100"/>
      <c r="N158" s="29"/>
      <c r="O158" s="29">
        <f>SUM(O151:O157)</f>
        <v>29376</v>
      </c>
      <c r="P158" s="29">
        <f>SUM(P151:P157)</f>
        <v>29000</v>
      </c>
      <c r="Q158" s="29">
        <f>SUM(Q151:Q157)</f>
        <v>376</v>
      </c>
      <c r="R158" s="30">
        <f t="shared" si="51"/>
        <v>1.296551724137931E-2</v>
      </c>
      <c r="T158" s="29">
        <f>SUM(T151:T157)</f>
        <v>21085.590000000004</v>
      </c>
      <c r="U158" s="29">
        <f>SUM(U151:U157)</f>
        <v>18022</v>
      </c>
      <c r="V158" s="30">
        <f t="shared" si="52"/>
        <v>0.16999167683941871</v>
      </c>
      <c r="W158" s="84"/>
      <c r="X158" s="68"/>
      <c r="AJ158" s="1"/>
    </row>
    <row r="159" spans="1:36" s="4" customFormat="1" ht="6.75" customHeight="1">
      <c r="A159" s="47">
        <v>140</v>
      </c>
      <c r="B159" s="17"/>
      <c r="C159" s="17"/>
      <c r="D159" s="17"/>
      <c r="E159" s="90"/>
      <c r="F159" s="90"/>
      <c r="G159" s="90"/>
      <c r="H159" s="90"/>
      <c r="I159" s="90"/>
      <c r="J159" s="90"/>
      <c r="K159" s="90"/>
      <c r="L159" s="90"/>
      <c r="M159" s="90"/>
      <c r="N159" s="17"/>
      <c r="O159" s="17"/>
      <c r="P159" s="17"/>
      <c r="Q159" s="17"/>
      <c r="R159" s="20"/>
      <c r="T159" s="17"/>
      <c r="U159" s="17"/>
      <c r="V159" s="20"/>
      <c r="W159" s="84"/>
      <c r="X159" s="68"/>
    </row>
    <row r="160" spans="1:36">
      <c r="A160" s="47">
        <v>141</v>
      </c>
      <c r="B160" s="4" t="s">
        <v>74</v>
      </c>
      <c r="R160" s="7"/>
      <c r="W160" s="82"/>
      <c r="X160" s="66"/>
    </row>
    <row r="161" spans="1:36" ht="43.5">
      <c r="A161" s="47">
        <v>142</v>
      </c>
      <c r="C161" s="279" t="s">
        <v>75</v>
      </c>
      <c r="D161" s="291"/>
      <c r="E161" s="292"/>
      <c r="F161" s="293"/>
      <c r="G161" s="293"/>
      <c r="H161" s="293"/>
      <c r="I161" s="293"/>
      <c r="J161" s="293"/>
      <c r="K161" s="293"/>
      <c r="L161" s="293"/>
      <c r="M161" s="293"/>
      <c r="N161" s="279"/>
      <c r="O161" s="304">
        <f>+P161*(1+0.14)+4</f>
        <v>16899.940000000002</v>
      </c>
      <c r="P161" s="304">
        <v>14821</v>
      </c>
      <c r="Q161" s="277">
        <f t="shared" ref="Q161:Q166" si="55">+O161-P161</f>
        <v>2078.9400000000023</v>
      </c>
      <c r="R161" s="278">
        <f t="shared" ref="R161:R168" si="56">IF(P161=0,"NA",(+O161-P161)/P161)</f>
        <v>0.14026988732204321</v>
      </c>
      <c r="S161" s="279"/>
      <c r="T161" s="276">
        <v>8603</v>
      </c>
      <c r="U161" s="276">
        <v>12675</v>
      </c>
      <c r="V161" s="278">
        <f t="shared" ref="V161:V168" si="57">IF(U161=0,"NA",(+T161-U161)/U161)</f>
        <v>-0.32126232741617355</v>
      </c>
      <c r="W161" s="370" t="s">
        <v>245</v>
      </c>
      <c r="X161" s="65" t="s">
        <v>157</v>
      </c>
      <c r="AF161" s="1">
        <f t="shared" ref="AF161:AF165" si="58">+$O161</f>
        <v>16899.940000000002</v>
      </c>
      <c r="AJ161" s="1">
        <f t="shared" ref="AJ161:AJ165" si="59">+$T161</f>
        <v>8603</v>
      </c>
    </row>
    <row r="162" spans="1:36">
      <c r="A162" s="47">
        <v>143</v>
      </c>
      <c r="C162" s="284" t="s">
        <v>76</v>
      </c>
      <c r="D162" s="294"/>
      <c r="E162" s="295"/>
      <c r="F162" s="296"/>
      <c r="G162" s="296"/>
      <c r="H162" s="296"/>
      <c r="I162" s="296"/>
      <c r="J162" s="296"/>
      <c r="K162" s="296"/>
      <c r="L162" s="296"/>
      <c r="M162" s="296"/>
      <c r="N162" s="284"/>
      <c r="O162" s="281">
        <v>4500</v>
      </c>
      <c r="P162" s="281">
        <v>4000</v>
      </c>
      <c r="Q162" s="282">
        <f t="shared" si="55"/>
        <v>500</v>
      </c>
      <c r="R162" s="283">
        <f t="shared" si="56"/>
        <v>0.125</v>
      </c>
      <c r="S162" s="284"/>
      <c r="T162" s="281">
        <v>5913.4</v>
      </c>
      <c r="U162" s="281">
        <v>3000</v>
      </c>
      <c r="V162" s="283">
        <f t="shared" si="57"/>
        <v>0.97113333333333318</v>
      </c>
      <c r="W162" s="285"/>
      <c r="X162" s="65"/>
      <c r="AF162" s="1">
        <f t="shared" si="58"/>
        <v>4500</v>
      </c>
      <c r="AJ162" s="1">
        <f t="shared" si="59"/>
        <v>5913.4</v>
      </c>
    </row>
    <row r="163" spans="1:36">
      <c r="A163" s="47">
        <v>144</v>
      </c>
      <c r="C163" s="284" t="s">
        <v>102</v>
      </c>
      <c r="D163" s="294"/>
      <c r="E163" s="295"/>
      <c r="F163" s="296"/>
      <c r="G163" s="296"/>
      <c r="H163" s="296"/>
      <c r="I163" s="296"/>
      <c r="J163" s="296"/>
      <c r="K163" s="296"/>
      <c r="L163" s="296"/>
      <c r="M163" s="296"/>
      <c r="N163" s="284"/>
      <c r="O163" s="281">
        <v>4000</v>
      </c>
      <c r="P163" s="281">
        <v>4000</v>
      </c>
      <c r="Q163" s="282">
        <f t="shared" si="55"/>
        <v>0</v>
      </c>
      <c r="R163" s="283">
        <f t="shared" si="56"/>
        <v>0</v>
      </c>
      <c r="S163" s="284"/>
      <c r="T163" s="281">
        <v>3591.34</v>
      </c>
      <c r="U163" s="281">
        <v>2333.31</v>
      </c>
      <c r="V163" s="283">
        <f t="shared" si="57"/>
        <v>0.53916110589677335</v>
      </c>
      <c r="W163" s="285"/>
      <c r="X163" s="65"/>
      <c r="AF163" s="1">
        <f t="shared" si="58"/>
        <v>4000</v>
      </c>
      <c r="AJ163" s="1">
        <f t="shared" si="59"/>
        <v>3591.34</v>
      </c>
    </row>
    <row r="164" spans="1:36" ht="43.5">
      <c r="A164" s="47">
        <v>145</v>
      </c>
      <c r="C164" s="544" t="s">
        <v>105</v>
      </c>
      <c r="D164" s="544"/>
      <c r="E164" s="371"/>
      <c r="F164" s="371"/>
      <c r="G164" s="371"/>
      <c r="H164" s="371"/>
      <c r="I164" s="371"/>
      <c r="J164" s="371"/>
      <c r="K164" s="371"/>
      <c r="L164" s="371"/>
      <c r="M164" s="371"/>
      <c r="N164" s="372"/>
      <c r="O164" s="302">
        <v>8000</v>
      </c>
      <c r="P164" s="281">
        <v>3500</v>
      </c>
      <c r="Q164" s="282">
        <f t="shared" si="55"/>
        <v>4500</v>
      </c>
      <c r="R164" s="283">
        <f t="shared" si="56"/>
        <v>1.2857142857142858</v>
      </c>
      <c r="S164" s="284"/>
      <c r="T164" s="281">
        <v>3447.04</v>
      </c>
      <c r="U164" s="281">
        <v>4666.6899999999996</v>
      </c>
      <c r="V164" s="283">
        <f t="shared" si="57"/>
        <v>-0.26135226466724804</v>
      </c>
      <c r="W164" s="285" t="s">
        <v>247</v>
      </c>
      <c r="X164" s="65"/>
      <c r="AF164" s="1">
        <f t="shared" si="58"/>
        <v>8000</v>
      </c>
      <c r="AJ164" s="1">
        <f t="shared" si="59"/>
        <v>3447.04</v>
      </c>
    </row>
    <row r="165" spans="1:36" ht="42.75" customHeight="1">
      <c r="A165" s="47">
        <v>146</v>
      </c>
      <c r="C165" s="289" t="s">
        <v>77</v>
      </c>
      <c r="D165" s="297"/>
      <c r="E165" s="298"/>
      <c r="F165" s="299"/>
      <c r="G165" s="299"/>
      <c r="H165" s="299"/>
      <c r="I165" s="299"/>
      <c r="J165" s="299"/>
      <c r="K165" s="299"/>
      <c r="L165" s="299"/>
      <c r="M165" s="299"/>
      <c r="N165" s="289"/>
      <c r="O165" s="286">
        <v>8000</v>
      </c>
      <c r="P165" s="286">
        <v>7500</v>
      </c>
      <c r="Q165" s="287">
        <f t="shared" si="55"/>
        <v>500</v>
      </c>
      <c r="R165" s="288">
        <f t="shared" si="56"/>
        <v>6.6666666666666666E-2</v>
      </c>
      <c r="S165" s="289"/>
      <c r="T165" s="303">
        <v>5014.46</v>
      </c>
      <c r="U165" s="286">
        <v>4666.6899999999996</v>
      </c>
      <c r="V165" s="288">
        <f t="shared" si="57"/>
        <v>7.4521770248291722E-2</v>
      </c>
      <c r="W165" s="290" t="s">
        <v>295</v>
      </c>
      <c r="X165" s="65"/>
      <c r="AF165" s="1">
        <f t="shared" si="58"/>
        <v>8000</v>
      </c>
      <c r="AJ165" s="1">
        <f t="shared" si="59"/>
        <v>5014.46</v>
      </c>
    </row>
    <row r="166" spans="1:36" hidden="1">
      <c r="A166" s="47">
        <v>149</v>
      </c>
      <c r="C166" s="1" t="s">
        <v>78</v>
      </c>
      <c r="O166" s="59">
        <v>0</v>
      </c>
      <c r="P166" s="59">
        <v>0</v>
      </c>
      <c r="Q166" s="40">
        <f t="shared" si="55"/>
        <v>0</v>
      </c>
      <c r="R166" s="6" t="str">
        <f t="shared" si="56"/>
        <v>NA</v>
      </c>
      <c r="T166" s="59">
        <v>0</v>
      </c>
      <c r="U166" s="59">
        <v>0</v>
      </c>
      <c r="V166" s="6" t="str">
        <f t="shared" si="57"/>
        <v>NA</v>
      </c>
      <c r="W166" s="84"/>
      <c r="X166" s="69"/>
    </row>
    <row r="167" spans="1:36" s="4" customFormat="1">
      <c r="A167" s="47">
        <v>150</v>
      </c>
      <c r="B167" s="29" t="s">
        <v>79</v>
      </c>
      <c r="C167" s="29"/>
      <c r="D167" s="29"/>
      <c r="E167" s="100"/>
      <c r="F167" s="100"/>
      <c r="G167" s="100"/>
      <c r="H167" s="100"/>
      <c r="I167" s="100"/>
      <c r="J167" s="100"/>
      <c r="K167" s="100"/>
      <c r="L167" s="100"/>
      <c r="M167" s="100"/>
      <c r="N167" s="29"/>
      <c r="O167" s="29">
        <f>SUM(O161:O166)</f>
        <v>41399.94</v>
      </c>
      <c r="P167" s="29">
        <f>SUM(P161:P166)</f>
        <v>33821</v>
      </c>
      <c r="Q167" s="29">
        <f>SUM(Q161:Q166)</f>
        <v>7578.9400000000023</v>
      </c>
      <c r="R167" s="30">
        <f t="shared" si="56"/>
        <v>0.22408976671298905</v>
      </c>
      <c r="T167" s="29">
        <f>SUM(T161:T166)</f>
        <v>26569.239999999998</v>
      </c>
      <c r="U167" s="29">
        <f>SUM(U161:U166)</f>
        <v>27341.69</v>
      </c>
      <c r="V167" s="30">
        <f t="shared" si="57"/>
        <v>-2.8251728404498799E-2</v>
      </c>
      <c r="W167" s="84"/>
      <c r="X167" s="68"/>
    </row>
    <row r="168" spans="1:36">
      <c r="A168" s="47">
        <v>151</v>
      </c>
      <c r="B168" s="29" t="s">
        <v>80</v>
      </c>
      <c r="C168" s="29"/>
      <c r="D168" s="29"/>
      <c r="E168" s="100"/>
      <c r="F168" s="100"/>
      <c r="G168" s="100"/>
      <c r="H168" s="100"/>
      <c r="I168" s="100"/>
      <c r="J168" s="100"/>
      <c r="K168" s="100"/>
      <c r="L168" s="100"/>
      <c r="M168" s="100"/>
      <c r="N168" s="29"/>
      <c r="O168" s="29">
        <f>+O158+O167</f>
        <v>70775.94</v>
      </c>
      <c r="P168" s="29">
        <f>+P158+P167</f>
        <v>62821</v>
      </c>
      <c r="Q168" s="29">
        <f>+Q158+Q167</f>
        <v>7954.9400000000023</v>
      </c>
      <c r="R168" s="30">
        <f t="shared" si="56"/>
        <v>0.1266286751245603</v>
      </c>
      <c r="T168" s="29">
        <f>+T158+T167</f>
        <v>47654.83</v>
      </c>
      <c r="U168" s="29">
        <f>+U158+U167</f>
        <v>45363.69</v>
      </c>
      <c r="V168" s="30">
        <f t="shared" si="57"/>
        <v>5.0506032467817305E-2</v>
      </c>
      <c r="W168" s="82"/>
      <c r="X168" s="66"/>
    </row>
    <row r="169" spans="1:36" ht="4.5" customHeight="1">
      <c r="A169" s="47">
        <v>152</v>
      </c>
      <c r="R169" s="7"/>
      <c r="W169" s="82"/>
      <c r="X169" s="66"/>
    </row>
    <row r="170" spans="1:36" ht="18.5">
      <c r="A170" s="47">
        <v>153</v>
      </c>
      <c r="B170" s="9" t="s">
        <v>81</v>
      </c>
      <c r="R170" s="7"/>
      <c r="W170" s="82"/>
      <c r="X170" s="66"/>
    </row>
    <row r="171" spans="1:36">
      <c r="A171" s="47">
        <v>154</v>
      </c>
      <c r="B171" s="4" t="s">
        <v>82</v>
      </c>
      <c r="R171" s="7"/>
      <c r="W171" s="82"/>
      <c r="X171" s="66"/>
    </row>
    <row r="172" spans="1:36" ht="29">
      <c r="C172" s="279" t="s">
        <v>83</v>
      </c>
      <c r="D172" s="291"/>
      <c r="E172" s="292"/>
      <c r="F172" s="293"/>
      <c r="G172" s="293"/>
      <c r="H172" s="293"/>
      <c r="I172" s="293"/>
      <c r="J172" s="293"/>
      <c r="K172" s="293"/>
      <c r="L172" s="293"/>
      <c r="M172" s="293"/>
      <c r="N172" s="279"/>
      <c r="O172" s="304">
        <v>0</v>
      </c>
      <c r="P172" s="304">
        <v>0</v>
      </c>
      <c r="Q172" s="277">
        <f t="shared" ref="Q172:Q177" si="60">+O172-P172</f>
        <v>0</v>
      </c>
      <c r="R172" s="278" t="str">
        <f t="shared" ref="R172:R178" si="61">IF(P172=0,"NA",(+O172-P172)/P172)</f>
        <v>NA</v>
      </c>
      <c r="S172" s="279"/>
      <c r="T172" s="276">
        <v>0</v>
      </c>
      <c r="U172" s="276">
        <v>0</v>
      </c>
      <c r="V172" s="278" t="str">
        <f t="shared" ref="V172:V178" si="62">IF(U172=0,"NA",(+T172-U172)/U172)</f>
        <v>NA</v>
      </c>
      <c r="W172" s="280" t="s">
        <v>217</v>
      </c>
      <c r="X172" s="65"/>
    </row>
    <row r="173" spans="1:36">
      <c r="C173" s="284" t="s">
        <v>226</v>
      </c>
      <c r="D173" s="294"/>
      <c r="E173" s="295"/>
      <c r="F173" s="296"/>
      <c r="G173" s="296"/>
      <c r="H173" s="296"/>
      <c r="I173" s="296"/>
      <c r="J173" s="296"/>
      <c r="K173" s="296"/>
      <c r="L173" s="296"/>
      <c r="M173" s="296"/>
      <c r="N173" s="284"/>
      <c r="O173" s="302">
        <v>0</v>
      </c>
      <c r="P173" s="302">
        <v>0</v>
      </c>
      <c r="Q173" s="282">
        <f t="shared" si="60"/>
        <v>0</v>
      </c>
      <c r="R173" s="283" t="str">
        <f t="shared" si="61"/>
        <v>NA</v>
      </c>
      <c r="S173" s="284"/>
      <c r="T173" s="281">
        <v>0</v>
      </c>
      <c r="U173" s="281">
        <v>0</v>
      </c>
      <c r="V173" s="283" t="str">
        <f t="shared" si="62"/>
        <v>NA</v>
      </c>
      <c r="W173" s="285"/>
      <c r="X173" s="65"/>
    </row>
    <row r="174" spans="1:36" ht="43.5">
      <c r="A174" s="47">
        <v>156</v>
      </c>
      <c r="C174" s="284" t="s">
        <v>166</v>
      </c>
      <c r="D174" s="294"/>
      <c r="E174" s="295"/>
      <c r="F174" s="296"/>
      <c r="G174" s="296"/>
      <c r="H174" s="296"/>
      <c r="I174" s="296"/>
      <c r="J174" s="296"/>
      <c r="K174" s="296"/>
      <c r="L174" s="296"/>
      <c r="M174" s="296"/>
      <c r="N174" s="284"/>
      <c r="O174" s="302">
        <v>12000</v>
      </c>
      <c r="P174" s="302">
        <v>24378</v>
      </c>
      <c r="Q174" s="282">
        <f t="shared" si="60"/>
        <v>-12378</v>
      </c>
      <c r="R174" s="283">
        <f t="shared" si="61"/>
        <v>-0.50775289195175977</v>
      </c>
      <c r="S174" s="284"/>
      <c r="T174" s="281">
        <v>0</v>
      </c>
      <c r="U174" s="281">
        <v>7000</v>
      </c>
      <c r="V174" s="283">
        <f t="shared" si="62"/>
        <v>-1</v>
      </c>
      <c r="W174" s="285" t="s">
        <v>297</v>
      </c>
      <c r="X174" s="65"/>
    </row>
    <row r="175" spans="1:36" ht="29">
      <c r="A175" s="47">
        <v>157</v>
      </c>
      <c r="C175" s="284" t="s">
        <v>172</v>
      </c>
      <c r="D175" s="294"/>
      <c r="E175" s="295"/>
      <c r="F175" s="296"/>
      <c r="G175" s="296"/>
      <c r="H175" s="296"/>
      <c r="I175" s="296"/>
      <c r="J175" s="296"/>
      <c r="K175" s="296"/>
      <c r="L175" s="296"/>
      <c r="M175" s="296"/>
      <c r="N175" s="284"/>
      <c r="O175" s="302">
        <f>215+302-100+104</f>
        <v>521</v>
      </c>
      <c r="P175" s="302">
        <v>5000</v>
      </c>
      <c r="Q175" s="282">
        <f t="shared" si="60"/>
        <v>-4479</v>
      </c>
      <c r="R175" s="283">
        <f t="shared" si="61"/>
        <v>-0.89580000000000004</v>
      </c>
      <c r="S175" s="284"/>
      <c r="T175" s="281">
        <v>0</v>
      </c>
      <c r="U175" s="281">
        <v>303.94</v>
      </c>
      <c r="V175" s="283">
        <f t="shared" si="62"/>
        <v>-1</v>
      </c>
      <c r="W175" s="285" t="s">
        <v>296</v>
      </c>
      <c r="X175" s="66"/>
    </row>
    <row r="176" spans="1:36" ht="29">
      <c r="A176" s="47">
        <v>157</v>
      </c>
      <c r="C176" s="289" t="s">
        <v>216</v>
      </c>
      <c r="D176" s="297"/>
      <c r="E176" s="298"/>
      <c r="F176" s="299"/>
      <c r="G176" s="299"/>
      <c r="H176" s="299"/>
      <c r="I176" s="299"/>
      <c r="J176" s="299"/>
      <c r="K176" s="299"/>
      <c r="L176" s="299"/>
      <c r="M176" s="299"/>
      <c r="N176" s="289"/>
      <c r="O176" s="303">
        <v>0</v>
      </c>
      <c r="P176" s="303">
        <v>10000</v>
      </c>
      <c r="Q176" s="287">
        <f t="shared" si="60"/>
        <v>-10000</v>
      </c>
      <c r="R176" s="288">
        <f t="shared" si="61"/>
        <v>-1</v>
      </c>
      <c r="S176" s="289"/>
      <c r="T176" s="286">
        <v>0</v>
      </c>
      <c r="U176" s="286">
        <v>0</v>
      </c>
      <c r="V176" s="288" t="str">
        <f t="shared" si="62"/>
        <v>NA</v>
      </c>
      <c r="W176" s="290" t="s">
        <v>218</v>
      </c>
      <c r="X176" s="66"/>
    </row>
    <row r="177" spans="1:36" hidden="1">
      <c r="A177" s="47">
        <v>158</v>
      </c>
      <c r="C177" s="1" t="s">
        <v>84</v>
      </c>
      <c r="O177" s="61">
        <v>0</v>
      </c>
      <c r="P177" s="61">
        <v>0</v>
      </c>
      <c r="Q177" s="40">
        <f t="shared" si="60"/>
        <v>0</v>
      </c>
      <c r="R177" s="6" t="str">
        <f t="shared" si="61"/>
        <v>NA</v>
      </c>
      <c r="T177" s="59">
        <v>0</v>
      </c>
      <c r="U177" s="59">
        <v>0</v>
      </c>
      <c r="V177" s="6" t="str">
        <f t="shared" si="62"/>
        <v>NA</v>
      </c>
      <c r="W177" s="69"/>
      <c r="X177" s="69" t="s">
        <v>150</v>
      </c>
    </row>
    <row r="178" spans="1:36" s="4" customFormat="1">
      <c r="A178" s="47">
        <v>159</v>
      </c>
      <c r="B178" s="31" t="s">
        <v>85</v>
      </c>
      <c r="C178" s="31"/>
      <c r="D178" s="31"/>
      <c r="E178" s="101"/>
      <c r="F178" s="101"/>
      <c r="G178" s="101"/>
      <c r="H178" s="101"/>
      <c r="I178" s="101"/>
      <c r="J178" s="101"/>
      <c r="K178" s="101"/>
      <c r="L178" s="101"/>
      <c r="M178" s="101"/>
      <c r="N178" s="31"/>
      <c r="O178" s="31">
        <f>SUM(O172:O177)</f>
        <v>12521</v>
      </c>
      <c r="P178" s="31">
        <f>SUM(P172:P177)</f>
        <v>39378</v>
      </c>
      <c r="Q178" s="31">
        <f>SUM(Q172:Q177)</f>
        <v>-26857</v>
      </c>
      <c r="R178" s="32">
        <f t="shared" si="61"/>
        <v>-0.68203057544821977</v>
      </c>
      <c r="T178" s="31">
        <f>SUM(T172:T177)</f>
        <v>0</v>
      </c>
      <c r="U178" s="31">
        <f>SUM(U172:U177)</f>
        <v>7303.94</v>
      </c>
      <c r="V178" s="32">
        <f t="shared" si="62"/>
        <v>-1</v>
      </c>
      <c r="W178" s="84"/>
      <c r="X178" s="68"/>
    </row>
    <row r="179" spans="1:36" ht="7.5" customHeight="1">
      <c r="A179" s="47">
        <v>160</v>
      </c>
      <c r="D179" s="1"/>
      <c r="E179" s="42"/>
      <c r="R179" s="7"/>
      <c r="W179" s="82"/>
      <c r="X179" s="66"/>
    </row>
    <row r="180" spans="1:36">
      <c r="A180" s="47">
        <v>161</v>
      </c>
      <c r="B180" s="33" t="s">
        <v>86</v>
      </c>
      <c r="C180" s="34"/>
      <c r="D180" s="34"/>
      <c r="E180" s="102"/>
      <c r="F180" s="102"/>
      <c r="G180" s="102"/>
      <c r="H180" s="102"/>
      <c r="I180" s="102"/>
      <c r="J180" s="102"/>
      <c r="K180" s="102"/>
      <c r="L180" s="102"/>
      <c r="M180" s="102"/>
      <c r="N180" s="34"/>
      <c r="O180" s="33">
        <f>O30+O77+O147+O168+O178</f>
        <v>513453.32049999997</v>
      </c>
      <c r="P180" s="33">
        <f>+P77+P147+P168+P178+P30</f>
        <v>521499.84341041668</v>
      </c>
      <c r="Q180" s="33">
        <f>+Q77+Q147+Q168+Q178+Q30</f>
        <v>-8046.5229104166719</v>
      </c>
      <c r="R180" s="35">
        <f>IF(P180=0,"NA",(+O180-P180)/P180)</f>
        <v>-1.5429578766113171E-2</v>
      </c>
      <c r="T180" s="33">
        <f>+T77+T147+T168+T178+T30</f>
        <v>285025.86</v>
      </c>
      <c r="U180" s="33">
        <f>+U77+U147+U168+U178+U30</f>
        <v>302361.92000000004</v>
      </c>
      <c r="V180" s="35">
        <f>IF(U180=0,"NA",(+T180-U180)/U180)</f>
        <v>-5.7335460761725729E-2</v>
      </c>
      <c r="W180" s="82"/>
      <c r="X180" s="66"/>
      <c r="AC180" s="511">
        <f>+SUM(AC5:AC178)</f>
        <v>164734.65720000005</v>
      </c>
      <c r="AD180" s="511">
        <f t="shared" ref="AD180:AJ180" si="63">+SUM(AD5:AD178)</f>
        <v>103945.78110000001</v>
      </c>
      <c r="AE180" s="511">
        <f t="shared" si="63"/>
        <v>128013.94220000002</v>
      </c>
      <c r="AF180" s="511">
        <f t="shared" si="63"/>
        <v>104240.94</v>
      </c>
      <c r="AG180" s="511">
        <f>+SUM(AG5:AG178)</f>
        <v>93723.965160000007</v>
      </c>
      <c r="AH180" s="511">
        <f t="shared" si="63"/>
        <v>53516.78716</v>
      </c>
      <c r="AI180" s="511">
        <f t="shared" si="63"/>
        <v>69512.857680000016</v>
      </c>
      <c r="AJ180" s="511">
        <f t="shared" si="63"/>
        <v>68275.25</v>
      </c>
    </row>
    <row r="181" spans="1:36">
      <c r="A181" s="47">
        <v>162</v>
      </c>
      <c r="B181" s="33" t="s">
        <v>87</v>
      </c>
      <c r="C181" s="34"/>
      <c r="D181" s="34"/>
      <c r="E181" s="102"/>
      <c r="F181" s="102"/>
      <c r="G181" s="102"/>
      <c r="H181" s="102"/>
      <c r="I181" s="102"/>
      <c r="J181" s="102"/>
      <c r="K181" s="102"/>
      <c r="L181" s="102"/>
      <c r="M181" s="102"/>
      <c r="N181" s="34"/>
      <c r="O181" s="33">
        <f>ROUND(+O22-O180,0)</f>
        <v>-153</v>
      </c>
      <c r="P181" s="33">
        <f>ROUND(+P22-P180,0)</f>
        <v>0</v>
      </c>
      <c r="Q181" s="33">
        <f>ROUND(+Q22-Q180,0)</f>
        <v>-153</v>
      </c>
      <c r="R181" s="35" t="str">
        <f>IF(P181=0,"NA",(+O181-P181)/P181)</f>
        <v>NA</v>
      </c>
      <c r="T181" s="33">
        <f>+T22-T180</f>
        <v>60753.98000000004</v>
      </c>
      <c r="U181" s="33">
        <f>+U22-U180</f>
        <v>39787.169999999984</v>
      </c>
      <c r="V181" s="35">
        <f>IF(U181=0,"NA",(+T181-U181)/U181)</f>
        <v>0.52697414769635698</v>
      </c>
      <c r="W181" s="82"/>
      <c r="X181" s="66"/>
    </row>
    <row r="182" spans="1:36" ht="15" thickBot="1">
      <c r="R182" s="7"/>
      <c r="W182" s="82"/>
      <c r="X182" s="66"/>
    </row>
    <row r="183" spans="1:36">
      <c r="B183" s="115" t="s">
        <v>193</v>
      </c>
      <c r="C183" s="116"/>
      <c r="D183" s="116"/>
      <c r="E183" s="117"/>
      <c r="F183" s="117"/>
      <c r="G183" s="117"/>
      <c r="H183" s="117"/>
      <c r="I183" s="117"/>
      <c r="J183" s="117"/>
      <c r="K183" s="117"/>
      <c r="L183" s="117"/>
      <c r="M183" s="117"/>
      <c r="N183" s="116"/>
      <c r="O183" s="118">
        <f>+O22-O20</f>
        <v>513300</v>
      </c>
      <c r="P183" s="118">
        <f>+P22-P20</f>
        <v>521500</v>
      </c>
      <c r="Q183" s="119">
        <f>+O183-P183</f>
        <v>-8200</v>
      </c>
      <c r="R183" s="120">
        <f>IF(P183=0,"NA",(+O183-P183)/P183)</f>
        <v>-1.5723873441994246E-2</v>
      </c>
      <c r="S183" s="116"/>
      <c r="T183" s="118">
        <f>+T22-T20</f>
        <v>345779.84</v>
      </c>
      <c r="U183" s="118">
        <f>+U22-U20</f>
        <v>342149.09</v>
      </c>
      <c r="V183" s="121">
        <f>IF(U183=0,"NA",(+T183-U183)/U183)</f>
        <v>1.061160209428001E-2</v>
      </c>
      <c r="W183" s="69" t="s">
        <v>246</v>
      </c>
      <c r="X183" s="66"/>
    </row>
    <row r="184" spans="1:36">
      <c r="B184" s="122" t="s">
        <v>175</v>
      </c>
      <c r="C184" s="110"/>
      <c r="D184" s="110"/>
      <c r="E184" s="111"/>
      <c r="F184" s="111"/>
      <c r="G184" s="111"/>
      <c r="H184" s="111"/>
      <c r="I184" s="111"/>
      <c r="J184" s="111"/>
      <c r="K184" s="111"/>
      <c r="L184" s="111"/>
      <c r="M184" s="111"/>
      <c r="N184" s="110"/>
      <c r="O184" s="112">
        <f>+O180-O178</f>
        <v>500932.32049999997</v>
      </c>
      <c r="P184" s="112">
        <f>+P180-P178</f>
        <v>482121.84341041668</v>
      </c>
      <c r="Q184" s="113">
        <f>+O184-P184</f>
        <v>18810.477089583292</v>
      </c>
      <c r="R184" s="114">
        <f>IF(P184=0,"NA",(+O184-P184)/P184)</f>
        <v>3.9016023328298913E-2</v>
      </c>
      <c r="S184" s="110"/>
      <c r="T184" s="112">
        <f>+T180-T178</f>
        <v>285025.86</v>
      </c>
      <c r="U184" s="112">
        <f>+U180-U178</f>
        <v>295057.98000000004</v>
      </c>
      <c r="V184" s="123">
        <f>IF(U184=0,"NA",(+T184-U184)/U184)</f>
        <v>-3.4000503900962285E-2</v>
      </c>
      <c r="W184" s="82"/>
      <c r="X184" s="66"/>
    </row>
    <row r="185" spans="1:36" ht="15" thickBot="1">
      <c r="B185" s="124" t="s">
        <v>194</v>
      </c>
      <c r="C185" s="125"/>
      <c r="D185" s="125"/>
      <c r="E185" s="126"/>
      <c r="F185" s="126"/>
      <c r="G185" s="126"/>
      <c r="H185" s="127"/>
      <c r="I185" s="127"/>
      <c r="J185" s="127"/>
      <c r="K185" s="127"/>
      <c r="L185" s="127"/>
      <c r="M185" s="127"/>
      <c r="N185" s="125"/>
      <c r="O185" s="128">
        <f>+O183-O184</f>
        <v>12367.679500000027</v>
      </c>
      <c r="P185" s="128">
        <f>+P183-P184</f>
        <v>39378.156589583319</v>
      </c>
      <c r="Q185" s="129">
        <f>+O185-P185</f>
        <v>-27010.477089583292</v>
      </c>
      <c r="R185" s="130">
        <f>IF(P185=0,"NA",(+O185-P185)/P185)</f>
        <v>-0.68592538170586581</v>
      </c>
      <c r="S185" s="125"/>
      <c r="T185" s="128">
        <f>+T183-T184</f>
        <v>60753.98000000004</v>
      </c>
      <c r="U185" s="128">
        <f>+U183-U184</f>
        <v>47091.109999999986</v>
      </c>
      <c r="V185" s="131">
        <f>IF(U185=0,"NA",(+T185-U185)/U185)</f>
        <v>0.29013692818028836</v>
      </c>
      <c r="W185" s="82"/>
      <c r="X185" s="66"/>
    </row>
    <row r="186" spans="1:36">
      <c r="R186" s="7"/>
      <c r="W186" s="66"/>
      <c r="X186" s="66"/>
    </row>
    <row r="187" spans="1:36">
      <c r="H187" s="103"/>
      <c r="I187" s="103"/>
      <c r="J187" s="103"/>
      <c r="K187" s="103"/>
      <c r="L187" s="103"/>
      <c r="M187" s="103"/>
      <c r="V187" s="1"/>
      <c r="W187" s="66"/>
      <c r="X187" s="66"/>
    </row>
    <row r="188" spans="1:36">
      <c r="R188" s="7"/>
      <c r="W188" s="66"/>
      <c r="X188" s="66"/>
    </row>
    <row r="189" spans="1:36">
      <c r="D189" s="85"/>
      <c r="E189" s="104"/>
      <c r="R189" s="7"/>
      <c r="W189" s="66"/>
      <c r="X189" s="66"/>
    </row>
    <row r="190" spans="1:36">
      <c r="R190" s="7"/>
      <c r="W190" s="66"/>
      <c r="X190" s="66"/>
    </row>
    <row r="191" spans="1:36">
      <c r="A191" s="1"/>
      <c r="B191" s="1"/>
      <c r="R191" s="7"/>
      <c r="V191" s="1"/>
      <c r="W191" s="74"/>
      <c r="X191" s="74"/>
    </row>
    <row r="192" spans="1:36">
      <c r="A192" s="1"/>
      <c r="B192" s="1"/>
      <c r="R192" s="7"/>
      <c r="V192" s="1"/>
      <c r="W192" s="74"/>
      <c r="X192" s="74"/>
    </row>
    <row r="193" spans="1:24">
      <c r="A193" s="1"/>
      <c r="B193" s="1"/>
      <c r="R193" s="7"/>
      <c r="V193" s="1"/>
      <c r="W193" s="74"/>
      <c r="X193" s="74"/>
    </row>
    <row r="194" spans="1:24">
      <c r="A194" s="1"/>
      <c r="B194" s="1"/>
      <c r="R194" s="7"/>
      <c r="V194" s="1"/>
      <c r="W194" s="74"/>
      <c r="X194" s="74"/>
    </row>
    <row r="195" spans="1:24">
      <c r="A195" s="1"/>
      <c r="B195" s="1"/>
      <c r="R195" s="7"/>
      <c r="V195" s="1"/>
      <c r="W195" s="74"/>
      <c r="X195" s="74"/>
    </row>
    <row r="196" spans="1:24">
      <c r="A196" s="1"/>
      <c r="B196" s="1"/>
      <c r="R196" s="7"/>
      <c r="V196" s="1"/>
      <c r="W196" s="74"/>
      <c r="X196" s="74"/>
    </row>
    <row r="197" spans="1:24">
      <c r="A197" s="1"/>
      <c r="B197" s="1"/>
      <c r="R197" s="7"/>
      <c r="V197" s="1"/>
      <c r="W197" s="74"/>
      <c r="X197" s="40"/>
    </row>
    <row r="198" spans="1:24">
      <c r="A198" s="1"/>
      <c r="B198" s="1"/>
      <c r="R198" s="7"/>
      <c r="V198" s="1"/>
      <c r="W198" s="74"/>
      <c r="X198" s="40"/>
    </row>
    <row r="199" spans="1:24">
      <c r="A199" s="1"/>
      <c r="B199" s="1"/>
      <c r="R199" s="7"/>
      <c r="V199" s="1"/>
      <c r="W199" s="74"/>
      <c r="X199" s="40"/>
    </row>
    <row r="200" spans="1:24">
      <c r="A200" s="1"/>
      <c r="B200" s="1"/>
      <c r="R200" s="7"/>
      <c r="V200" s="1"/>
      <c r="W200" s="74"/>
      <c r="X200" s="40"/>
    </row>
    <row r="201" spans="1:24">
      <c r="A201" s="1"/>
      <c r="B201" s="1"/>
      <c r="R201" s="7"/>
      <c r="V201" s="1"/>
      <c r="W201" s="74"/>
      <c r="X201" s="40"/>
    </row>
    <row r="202" spans="1:24">
      <c r="A202" s="1"/>
      <c r="B202" s="1"/>
      <c r="R202" s="7"/>
      <c r="V202" s="1"/>
      <c r="W202" s="74"/>
      <c r="X202" s="40"/>
    </row>
    <row r="203" spans="1:24">
      <c r="A203" s="1"/>
      <c r="B203" s="1"/>
      <c r="R203" s="7"/>
      <c r="V203" s="1"/>
      <c r="W203" s="74"/>
      <c r="X203" s="40"/>
    </row>
    <row r="204" spans="1:24">
      <c r="A204" s="1"/>
      <c r="B204" s="1"/>
      <c r="R204" s="7"/>
      <c r="V204" s="1"/>
      <c r="W204" s="75"/>
      <c r="X204" s="40"/>
    </row>
    <row r="205" spans="1:24">
      <c r="X205" s="40"/>
    </row>
    <row r="206" spans="1:24">
      <c r="X206" s="54"/>
    </row>
    <row r="207" spans="1:24">
      <c r="X207" s="54"/>
    </row>
    <row r="208" spans="1:24">
      <c r="X208" s="54"/>
    </row>
    <row r="209" spans="24:24">
      <c r="X209" s="54"/>
    </row>
    <row r="210" spans="24:24">
      <c r="X210" s="54"/>
    </row>
    <row r="211" spans="24:24">
      <c r="X211" s="54"/>
    </row>
    <row r="212" spans="24:24">
      <c r="X212" s="54"/>
    </row>
    <row r="213" spans="24:24">
      <c r="X213" s="54"/>
    </row>
    <row r="214" spans="24:24">
      <c r="X214" s="54"/>
    </row>
    <row r="215" spans="24:24">
      <c r="X215" s="54"/>
    </row>
    <row r="216" spans="24:24">
      <c r="X216" s="54"/>
    </row>
    <row r="217" spans="24:24">
      <c r="X217" s="54"/>
    </row>
    <row r="218" spans="24:24">
      <c r="X218" s="54"/>
    </row>
    <row r="219" spans="24:24">
      <c r="X219" s="54"/>
    </row>
    <row r="220" spans="24:24">
      <c r="X220" s="54"/>
    </row>
    <row r="221" spans="24:24">
      <c r="X221" s="54"/>
    </row>
    <row r="222" spans="24:24">
      <c r="X222" s="54"/>
    </row>
    <row r="223" spans="24:24">
      <c r="X223" s="54"/>
    </row>
    <row r="224" spans="24:24">
      <c r="X224" s="54"/>
    </row>
    <row r="225" spans="24:24">
      <c r="X225" s="54"/>
    </row>
    <row r="226" spans="24:24">
      <c r="X226" s="54"/>
    </row>
    <row r="227" spans="24:24">
      <c r="X227" s="54"/>
    </row>
    <row r="228" spans="24:24">
      <c r="X228" s="54"/>
    </row>
    <row r="229" spans="24:24">
      <c r="X229" s="54"/>
    </row>
    <row r="230" spans="24:24">
      <c r="X230" s="54"/>
    </row>
    <row r="231" spans="24:24">
      <c r="X231" s="54"/>
    </row>
    <row r="232" spans="24:24">
      <c r="X232" s="54"/>
    </row>
    <row r="233" spans="24:24">
      <c r="X233" s="54"/>
    </row>
  </sheetData>
  <mergeCells count="27">
    <mergeCell ref="L84:N84"/>
    <mergeCell ref="I108:N109"/>
    <mergeCell ref="C142:D142"/>
    <mergeCell ref="I76:L76"/>
    <mergeCell ref="C84:D84"/>
    <mergeCell ref="C123:D123"/>
    <mergeCell ref="C164:D164"/>
    <mergeCell ref="E108:H108"/>
    <mergeCell ref="E128:H128"/>
    <mergeCell ref="I128:L128"/>
    <mergeCell ref="E127:N127"/>
    <mergeCell ref="AC3:AF3"/>
    <mergeCell ref="AG3:AJ3"/>
    <mergeCell ref="B1:W1"/>
    <mergeCell ref="N79:N80"/>
    <mergeCell ref="O2:R2"/>
    <mergeCell ref="T2:V2"/>
    <mergeCell ref="Q3:R3"/>
    <mergeCell ref="T3:T4"/>
    <mergeCell ref="U3:U4"/>
    <mergeCell ref="V3:V4"/>
    <mergeCell ref="O3:O4"/>
    <mergeCell ref="P3:P4"/>
    <mergeCell ref="E76:H76"/>
    <mergeCell ref="E74:M74"/>
    <mergeCell ref="G80:H80"/>
    <mergeCell ref="G79:H79"/>
  </mergeCells>
  <pageMargins left="0" right="0" top="0.25" bottom="0.5" header="0.3" footer="0.3"/>
  <pageSetup scale="72" fitToHeight="0" orientation="landscape" r:id="rId1"/>
  <headerFooter>
    <oddFooter>&amp;C&amp;P of &amp;N&amp;R&amp;D</oddFooter>
  </headerFooter>
  <rowBreaks count="3" manualBreakCount="3">
    <brk id="41" max="16383" man="1"/>
    <brk id="77" max="16383" man="1"/>
    <brk id="147" max="16383" man="1"/>
  </rowBreaks>
  <colBreaks count="1" manualBreakCount="1">
    <brk id="1" max="1048575" man="1"/>
  </colBreaks>
  <drawing r:id="rId2"/>
  <legacyDrawing r:id="rId3"/>
</worksheet>
</file>

<file path=xl/worksheets/sheet4.xml><?xml version="1.0" encoding="utf-8"?>
<worksheet xmlns="http://schemas.openxmlformats.org/spreadsheetml/2006/main" xmlns:r="http://schemas.openxmlformats.org/officeDocument/2006/relationships">
  <dimension ref="A1:J60"/>
  <sheetViews>
    <sheetView showGridLines="0" workbookViewId="0">
      <selection activeCell="J53" sqref="J53"/>
    </sheetView>
  </sheetViews>
  <sheetFormatPr defaultRowHeight="14.5"/>
  <cols>
    <col min="1" max="1" width="47.1796875" style="155" customWidth="1"/>
    <col min="2" max="2" width="10.453125" style="155" customWidth="1"/>
    <col min="3" max="3" width="10" style="155" customWidth="1"/>
    <col min="4" max="4" width="8.7265625" style="155"/>
    <col min="5" max="6" width="8.7265625" style="155" customWidth="1"/>
    <col min="7" max="7" width="13.90625" style="155" customWidth="1"/>
    <col min="8" max="8" width="13.90625" style="155" hidden="1" customWidth="1"/>
    <col min="9" max="16384" width="8.7265625" style="155"/>
  </cols>
  <sheetData>
    <row r="1" spans="1:8">
      <c r="B1" s="557">
        <v>2018</v>
      </c>
      <c r="C1" s="558"/>
      <c r="D1" s="558"/>
      <c r="E1" s="558"/>
      <c r="F1" s="559"/>
      <c r="G1" s="262" t="s">
        <v>250</v>
      </c>
      <c r="H1" s="156" t="s">
        <v>282</v>
      </c>
    </row>
    <row r="2" spans="1:8">
      <c r="A2" s="201"/>
      <c r="B2" s="202" t="s">
        <v>248</v>
      </c>
      <c r="C2" s="203" t="s">
        <v>198</v>
      </c>
      <c r="D2" s="203" t="s">
        <v>266</v>
      </c>
      <c r="E2" s="203" t="s">
        <v>280</v>
      </c>
      <c r="F2" s="204" t="s">
        <v>258</v>
      </c>
      <c r="G2" s="157"/>
      <c r="H2" s="205"/>
    </row>
    <row r="3" spans="1:8">
      <c r="A3" s="206" t="s">
        <v>45</v>
      </c>
      <c r="B3" s="207">
        <v>52894</v>
      </c>
      <c r="C3" s="138">
        <f>+B6-C5</f>
        <v>46762</v>
      </c>
      <c r="D3" s="138">
        <f>+B6-D5</f>
        <v>46762</v>
      </c>
      <c r="E3" s="138">
        <f>+B3</f>
        <v>52894</v>
      </c>
      <c r="F3" s="148"/>
      <c r="G3" s="158">
        <f>+B6-G5</f>
        <v>46322</v>
      </c>
      <c r="H3" s="208"/>
    </row>
    <row r="4" spans="1:8">
      <c r="A4" s="206"/>
      <c r="B4" s="209">
        <v>0.3</v>
      </c>
      <c r="C4" s="140"/>
      <c r="D4" s="140"/>
      <c r="E4" s="139">
        <v>0.3</v>
      </c>
      <c r="F4" s="210"/>
      <c r="G4" s="159"/>
      <c r="H4" s="211"/>
    </row>
    <row r="5" spans="1:8" ht="15" thickBot="1">
      <c r="A5" s="206" t="s">
        <v>197</v>
      </c>
      <c r="B5" s="212">
        <f>ROUND(+B3*B4,0)</f>
        <v>15868</v>
      </c>
      <c r="C5" s="142">
        <v>22000</v>
      </c>
      <c r="D5" s="142">
        <f>+C5</f>
        <v>22000</v>
      </c>
      <c r="E5" s="141">
        <f>ROUND(+E3*E4,0)</f>
        <v>15868</v>
      </c>
      <c r="F5" s="145"/>
      <c r="G5" s="160">
        <v>22440</v>
      </c>
      <c r="H5" s="213"/>
    </row>
    <row r="6" spans="1:8" ht="14.5" customHeight="1">
      <c r="A6" s="206" t="s">
        <v>199</v>
      </c>
      <c r="B6" s="214">
        <f>+B3+B5</f>
        <v>68762</v>
      </c>
      <c r="C6" s="215">
        <f>+C3+C5</f>
        <v>68762</v>
      </c>
      <c r="D6" s="215">
        <f>+D3+D5</f>
        <v>68762</v>
      </c>
      <c r="E6" s="215">
        <f>+E3+E5</f>
        <v>68762</v>
      </c>
      <c r="F6" s="216"/>
      <c r="G6" s="161">
        <f>+G3+G5</f>
        <v>68762</v>
      </c>
      <c r="H6" s="217"/>
    </row>
    <row r="7" spans="1:8" ht="8" customHeight="1">
      <c r="A7" s="218"/>
      <c r="B7" s="218"/>
      <c r="C7" s="219"/>
      <c r="D7" s="219"/>
      <c r="E7" s="219"/>
      <c r="F7" s="220"/>
      <c r="G7" s="159"/>
      <c r="H7" s="211"/>
    </row>
    <row r="8" spans="1:8">
      <c r="A8" s="206" t="s">
        <v>215</v>
      </c>
      <c r="B8" s="218"/>
      <c r="C8" s="143">
        <f>(23/24)</f>
        <v>0.95833333333333337</v>
      </c>
      <c r="D8" s="143">
        <f>(23/24)</f>
        <v>0.95833333333333337</v>
      </c>
      <c r="E8" s="143">
        <v>1</v>
      </c>
      <c r="F8" s="144">
        <v>1</v>
      </c>
      <c r="G8" s="152">
        <v>1</v>
      </c>
      <c r="H8" s="221"/>
    </row>
    <row r="9" spans="1:8">
      <c r="A9" s="206" t="s">
        <v>251</v>
      </c>
      <c r="B9" s="218"/>
      <c r="C9" s="222">
        <v>0</v>
      </c>
      <c r="D9" s="222">
        <v>0</v>
      </c>
      <c r="E9" s="222">
        <v>0</v>
      </c>
      <c r="F9" s="223">
        <v>0</v>
      </c>
      <c r="G9" s="164">
        <v>0.02</v>
      </c>
      <c r="H9" s="224"/>
    </row>
    <row r="10" spans="1:8">
      <c r="A10" s="225" t="s">
        <v>249</v>
      </c>
      <c r="B10" s="226"/>
      <c r="C10" s="227">
        <f>+C6*C8</f>
        <v>65896.916666666672</v>
      </c>
      <c r="D10" s="227">
        <f>+D6*D8</f>
        <v>65896.916666666672</v>
      </c>
      <c r="E10" s="227">
        <f>+E6*E8</f>
        <v>68762</v>
      </c>
      <c r="F10" s="228">
        <f>+C6*F8</f>
        <v>68762</v>
      </c>
      <c r="G10" s="165">
        <f>ROUND(+G6*(1+G9),0)</f>
        <v>70137</v>
      </c>
      <c r="H10" s="229"/>
    </row>
    <row r="11" spans="1:8">
      <c r="A11" s="594" t="s">
        <v>252</v>
      </c>
      <c r="B11" s="218"/>
      <c r="C11" s="219"/>
      <c r="D11" s="219"/>
      <c r="E11" s="219"/>
      <c r="F11" s="220"/>
      <c r="G11" s="159"/>
      <c r="H11" s="211"/>
    </row>
    <row r="12" spans="1:8">
      <c r="A12" s="594"/>
      <c r="B12" s="218"/>
      <c r="C12" s="138">
        <f>+C28</f>
        <v>0</v>
      </c>
      <c r="D12" s="138">
        <f>+D28</f>
        <v>0</v>
      </c>
      <c r="E12" s="138">
        <f>+E28</f>
        <v>8015</v>
      </c>
      <c r="F12" s="148">
        <f>+F28</f>
        <v>0</v>
      </c>
      <c r="G12" s="154">
        <f>+G28</f>
        <v>2600</v>
      </c>
      <c r="H12" s="230"/>
    </row>
    <row r="13" spans="1:8" ht="6.5" customHeight="1">
      <c r="A13" s="594"/>
      <c r="B13" s="218"/>
      <c r="C13" s="219"/>
      <c r="D13" s="219"/>
      <c r="E13" s="219"/>
      <c r="F13" s="220"/>
      <c r="G13" s="159"/>
      <c r="H13" s="211"/>
    </row>
    <row r="14" spans="1:8">
      <c r="A14" s="225" t="s">
        <v>249</v>
      </c>
      <c r="B14" s="226"/>
      <c r="C14" s="227">
        <f>+C10+C12</f>
        <v>65896.916666666672</v>
      </c>
      <c r="D14" s="227">
        <f>+D10+D12</f>
        <v>65896.916666666672</v>
      </c>
      <c r="E14" s="227">
        <f>+E10+E12</f>
        <v>76777</v>
      </c>
      <c r="F14" s="228">
        <f>+F10+F12</f>
        <v>68762</v>
      </c>
      <c r="G14" s="165">
        <f>+G10+G12</f>
        <v>72737</v>
      </c>
      <c r="H14" s="229">
        <f>50297+22440</f>
        <v>72737</v>
      </c>
    </row>
    <row r="15" spans="1:8" ht="11" customHeight="1">
      <c r="A15" s="218"/>
      <c r="B15" s="218"/>
      <c r="C15" s="219"/>
      <c r="D15" s="219"/>
      <c r="E15" s="219"/>
      <c r="F15" s="220"/>
      <c r="G15" s="159"/>
      <c r="H15" s="211"/>
    </row>
    <row r="16" spans="1:8">
      <c r="A16" s="218" t="s">
        <v>253</v>
      </c>
      <c r="B16" s="218"/>
      <c r="C16" s="146">
        <v>7.6499999999999999E-2</v>
      </c>
      <c r="D16" s="146">
        <v>7.6499999999999999E-2</v>
      </c>
      <c r="E16" s="146">
        <v>7.6499999999999999E-2</v>
      </c>
      <c r="F16" s="147">
        <v>7.6499999999999999E-2</v>
      </c>
      <c r="G16" s="153">
        <v>7.6499999999999999E-2</v>
      </c>
      <c r="H16" s="231">
        <v>7.6499999999999999E-2</v>
      </c>
    </row>
    <row r="17" spans="1:10">
      <c r="A17" s="218" t="s">
        <v>254</v>
      </c>
      <c r="B17" s="218"/>
      <c r="C17" s="138">
        <f t="shared" ref="C17:H17" si="0">+C14*C16</f>
        <v>5041.1141250000001</v>
      </c>
      <c r="D17" s="138">
        <f t="shared" si="0"/>
        <v>5041.1141250000001</v>
      </c>
      <c r="E17" s="138">
        <f t="shared" si="0"/>
        <v>5873.4404999999997</v>
      </c>
      <c r="F17" s="148">
        <f t="shared" si="0"/>
        <v>5260.2929999999997</v>
      </c>
      <c r="G17" s="154">
        <f t="shared" si="0"/>
        <v>5564.3805000000002</v>
      </c>
      <c r="H17" s="230">
        <f t="shared" si="0"/>
        <v>5564.3805000000002</v>
      </c>
      <c r="J17" s="162"/>
    </row>
    <row r="18" spans="1:10" ht="6" customHeight="1">
      <c r="A18" s="218"/>
      <c r="B18" s="218"/>
      <c r="C18" s="219"/>
      <c r="D18" s="219"/>
      <c r="E18" s="219"/>
      <c r="F18" s="220"/>
      <c r="G18" s="159"/>
      <c r="H18" s="211"/>
    </row>
    <row r="19" spans="1:10">
      <c r="A19" s="232" t="s">
        <v>255</v>
      </c>
      <c r="B19" s="233"/>
      <c r="C19" s="234">
        <f>+C14+C17</f>
        <v>70938.030791666679</v>
      </c>
      <c r="D19" s="234">
        <f>+D14+D17</f>
        <v>70938.030791666679</v>
      </c>
      <c r="E19" s="234">
        <f>+E14+E17</f>
        <v>82650.440499999997</v>
      </c>
      <c r="F19" s="235">
        <f>+F14+F17</f>
        <v>74022.293000000005</v>
      </c>
      <c r="G19" s="169">
        <f>+G14+G17</f>
        <v>78301.380499999999</v>
      </c>
      <c r="H19" s="236">
        <f>+H14+H17</f>
        <v>78301.380499999999</v>
      </c>
    </row>
    <row r="20" spans="1:10">
      <c r="A20" s="237"/>
      <c r="B20" s="237"/>
      <c r="C20" s="237"/>
      <c r="D20" s="237"/>
      <c r="E20" s="237"/>
      <c r="F20" s="237"/>
      <c r="G20" s="237"/>
      <c r="H20" s="237"/>
    </row>
    <row r="21" spans="1:10">
      <c r="A21" s="238" t="s">
        <v>262</v>
      </c>
      <c r="B21" s="201"/>
      <c r="C21" s="239"/>
      <c r="D21" s="239"/>
      <c r="E21" s="239"/>
      <c r="F21" s="240"/>
      <c r="G21" s="263"/>
      <c r="H21" s="240"/>
    </row>
    <row r="22" spans="1:10">
      <c r="A22" s="218" t="s">
        <v>256</v>
      </c>
      <c r="B22" s="218"/>
      <c r="C22" s="138">
        <f>6011.15*C8</f>
        <v>5760.6854166666662</v>
      </c>
      <c r="D22" s="138"/>
      <c r="E22" s="138">
        <f>6011.15*E8</f>
        <v>6011.15</v>
      </c>
      <c r="F22" s="148">
        <f>6011.15</f>
        <v>6011.15</v>
      </c>
      <c r="G22" s="149">
        <v>4973</v>
      </c>
      <c r="H22" s="145"/>
      <c r="J22" s="162"/>
    </row>
    <row r="23" spans="1:10">
      <c r="A23" s="218" t="s">
        <v>292</v>
      </c>
      <c r="B23" s="218"/>
      <c r="C23" s="137">
        <v>0</v>
      </c>
      <c r="D23" s="137">
        <v>0</v>
      </c>
      <c r="E23" s="137">
        <v>0</v>
      </c>
      <c r="F23" s="145">
        <v>0</v>
      </c>
      <c r="G23" s="149">
        <v>2600</v>
      </c>
      <c r="H23" s="145"/>
      <c r="J23" s="162"/>
    </row>
    <row r="24" spans="1:10">
      <c r="A24" s="218" t="s">
        <v>293</v>
      </c>
      <c r="B24" s="218"/>
      <c r="C24" s="138">
        <f>+C22+C23</f>
        <v>5760.6854166666662</v>
      </c>
      <c r="D24" s="138">
        <f>+D22+D23</f>
        <v>0</v>
      </c>
      <c r="E24" s="138">
        <f>+E22+E23</f>
        <v>6011.15</v>
      </c>
      <c r="F24" s="148">
        <f>+F22+F23</f>
        <v>6011.15</v>
      </c>
      <c r="G24" s="151">
        <f>+G22+G23</f>
        <v>7573</v>
      </c>
      <c r="H24" s="145"/>
      <c r="J24" s="162"/>
    </row>
    <row r="25" spans="1:10">
      <c r="A25" s="218" t="s">
        <v>257</v>
      </c>
      <c r="B25" s="218"/>
      <c r="C25" s="146">
        <v>0.25</v>
      </c>
      <c r="D25" s="146"/>
      <c r="E25" s="146">
        <v>0.25</v>
      </c>
      <c r="F25" s="147">
        <v>0.25</v>
      </c>
      <c r="G25" s="150">
        <v>0.25</v>
      </c>
      <c r="H25" s="147"/>
    </row>
    <row r="26" spans="1:10">
      <c r="A26" s="226" t="s">
        <v>259</v>
      </c>
      <c r="B26" s="226"/>
      <c r="C26" s="241">
        <f>+C24/(1-C25)</f>
        <v>7680.9138888888883</v>
      </c>
      <c r="D26" s="242">
        <v>8015</v>
      </c>
      <c r="E26" s="241">
        <f>ROUND(+E24/(1-E25),0)</f>
        <v>8015</v>
      </c>
      <c r="F26" s="243">
        <f>+F24/(1-F25)</f>
        <v>8014.8666666666659</v>
      </c>
      <c r="G26" s="264">
        <f>ROUND(+G24/(1-G25),0)</f>
        <v>10097</v>
      </c>
      <c r="H26" s="243"/>
    </row>
    <row r="27" spans="1:10" ht="9" customHeight="1">
      <c r="A27" s="218"/>
      <c r="B27" s="218"/>
      <c r="C27" s="138"/>
      <c r="D27" s="138"/>
      <c r="E27" s="138"/>
      <c r="F27" s="220"/>
      <c r="G27" s="163"/>
      <c r="H27" s="220"/>
    </row>
    <row r="28" spans="1:10">
      <c r="A28" s="218" t="s">
        <v>260</v>
      </c>
      <c r="B28" s="218"/>
      <c r="C28" s="137">
        <v>0</v>
      </c>
      <c r="D28" s="137">
        <v>0</v>
      </c>
      <c r="E28" s="137">
        <v>8015</v>
      </c>
      <c r="F28" s="145">
        <v>0</v>
      </c>
      <c r="G28" s="149">
        <v>2600</v>
      </c>
      <c r="H28" s="145"/>
    </row>
    <row r="29" spans="1:10">
      <c r="A29" s="233" t="s">
        <v>261</v>
      </c>
      <c r="B29" s="233"/>
      <c r="C29" s="244">
        <f>+C26-C28</f>
        <v>7680.9138888888883</v>
      </c>
      <c r="D29" s="244">
        <f>+D26-D28</f>
        <v>8015</v>
      </c>
      <c r="E29" s="244">
        <f>+E26-E28</f>
        <v>0</v>
      </c>
      <c r="F29" s="245">
        <f>+F26-F28</f>
        <v>8014.8666666666659</v>
      </c>
      <c r="G29" s="265">
        <f>+G26-G28</f>
        <v>7497</v>
      </c>
      <c r="H29" s="245"/>
    </row>
    <row r="30" spans="1:10">
      <c r="A30" s="237"/>
      <c r="B30" s="237"/>
      <c r="C30" s="237"/>
      <c r="D30" s="237"/>
      <c r="E30" s="237"/>
      <c r="F30" s="237"/>
      <c r="G30" s="237"/>
      <c r="H30" s="237"/>
    </row>
    <row r="31" spans="1:10">
      <c r="A31" s="238" t="s">
        <v>202</v>
      </c>
      <c r="B31" s="201"/>
      <c r="C31" s="246">
        <v>0.11</v>
      </c>
      <c r="D31" s="246">
        <v>0.11</v>
      </c>
      <c r="E31" s="246">
        <v>0.11</v>
      </c>
      <c r="F31" s="247">
        <v>0.11</v>
      </c>
      <c r="G31" s="196">
        <v>0.11</v>
      </c>
      <c r="H31" s="247"/>
    </row>
    <row r="32" spans="1:10">
      <c r="A32" s="218" t="s">
        <v>267</v>
      </c>
      <c r="B32" s="218"/>
      <c r="C32" s="177">
        <f>+C19</f>
        <v>70938.030791666679</v>
      </c>
      <c r="D32" s="177">
        <f>+D19</f>
        <v>70938.030791666679</v>
      </c>
      <c r="E32" s="177">
        <f>+E19</f>
        <v>82650.440499999997</v>
      </c>
      <c r="F32" s="248">
        <f>+F19</f>
        <v>74022.293000000005</v>
      </c>
      <c r="G32" s="197">
        <f>+G19</f>
        <v>78301.380499999999</v>
      </c>
      <c r="H32" s="248"/>
    </row>
    <row r="33" spans="1:8">
      <c r="A33" s="218" t="s">
        <v>263</v>
      </c>
      <c r="B33" s="218"/>
      <c r="C33" s="177">
        <f>+C32*C31</f>
        <v>7803.1833870833343</v>
      </c>
      <c r="D33" s="249">
        <f>((+D32+D34)+(D16*D26))*D31</f>
        <v>8752.2796120833355</v>
      </c>
      <c r="E33" s="177">
        <f>+E32*E31</f>
        <v>9091.5484550000001</v>
      </c>
      <c r="F33" s="248">
        <f>+F32*F31</f>
        <v>8142.4522300000008</v>
      </c>
      <c r="G33" s="197">
        <f>ROUND(+G32*G31,0)</f>
        <v>8613</v>
      </c>
      <c r="H33" s="250">
        <v>8613</v>
      </c>
    </row>
    <row r="34" spans="1:8">
      <c r="A34" s="218" t="s">
        <v>264</v>
      </c>
      <c r="B34" s="218"/>
      <c r="C34" s="177">
        <f>+C29</f>
        <v>7680.9138888888883</v>
      </c>
      <c r="D34" s="177">
        <f>+D29</f>
        <v>8015</v>
      </c>
      <c r="E34" s="177">
        <f>+E29</f>
        <v>0</v>
      </c>
      <c r="F34" s="248">
        <f>+F29</f>
        <v>8014.8666666666659</v>
      </c>
      <c r="G34" s="197">
        <f>+G29</f>
        <v>7497</v>
      </c>
      <c r="H34" s="250">
        <v>5090</v>
      </c>
    </row>
    <row r="35" spans="1:8">
      <c r="A35" s="226" t="s">
        <v>265</v>
      </c>
      <c r="B35" s="226"/>
      <c r="C35" s="251">
        <f t="shared" ref="C35:H35" si="1">+C33+C34</f>
        <v>15484.097275972223</v>
      </c>
      <c r="D35" s="251">
        <f t="shared" si="1"/>
        <v>16767.279612083337</v>
      </c>
      <c r="E35" s="251">
        <f t="shared" si="1"/>
        <v>9091.5484550000001</v>
      </c>
      <c r="F35" s="252">
        <f t="shared" si="1"/>
        <v>16157.318896666668</v>
      </c>
      <c r="G35" s="199">
        <f t="shared" si="1"/>
        <v>16110</v>
      </c>
      <c r="H35" s="253">
        <f t="shared" si="1"/>
        <v>13703</v>
      </c>
    </row>
    <row r="36" spans="1:8">
      <c r="A36" s="233" t="s">
        <v>275</v>
      </c>
      <c r="B36" s="233"/>
      <c r="C36" s="254">
        <f>+C35/C32</f>
        <v>0.21827639001491975</v>
      </c>
      <c r="D36" s="254">
        <f>+D35/D32</f>
        <v>0.23636516865440033</v>
      </c>
      <c r="E36" s="254">
        <f>+E35/E32</f>
        <v>0.11</v>
      </c>
      <c r="F36" s="255">
        <f>+F35/F32</f>
        <v>0.21827639001491977</v>
      </c>
      <c r="G36" s="200">
        <f>+G35/G32</f>
        <v>0.20574349899233257</v>
      </c>
      <c r="H36" s="255"/>
    </row>
    <row r="37" spans="1:8">
      <c r="A37" s="237"/>
      <c r="B37" s="237"/>
      <c r="C37" s="237"/>
      <c r="D37" s="237"/>
      <c r="E37" s="237"/>
      <c r="F37" s="237"/>
      <c r="G37" s="237"/>
      <c r="H37" s="237"/>
    </row>
    <row r="38" spans="1:8">
      <c r="A38" s="238" t="s">
        <v>274</v>
      </c>
      <c r="B38" s="201"/>
      <c r="C38" s="239"/>
      <c r="D38" s="239"/>
      <c r="E38" s="239"/>
      <c r="F38" s="240"/>
      <c r="G38" s="263"/>
      <c r="H38" s="240"/>
    </row>
    <row r="39" spans="1:8">
      <c r="A39" s="218" t="s">
        <v>205</v>
      </c>
      <c r="B39" s="218"/>
      <c r="C39" s="256">
        <v>0.03</v>
      </c>
      <c r="D39" s="256">
        <v>0.03</v>
      </c>
      <c r="E39" s="256">
        <v>0.03</v>
      </c>
      <c r="F39" s="257">
        <v>0.03</v>
      </c>
      <c r="G39" s="266">
        <v>2.5000000000000001E-2</v>
      </c>
      <c r="H39" s="257">
        <v>2.5000000000000001E-2</v>
      </c>
    </row>
    <row r="40" spans="1:8">
      <c r="A40" s="218" t="s">
        <v>206</v>
      </c>
      <c r="B40" s="218"/>
      <c r="C40" s="256">
        <v>3.0000000000000001E-3</v>
      </c>
      <c r="D40" s="256">
        <v>3.0000000000000001E-3</v>
      </c>
      <c r="E40" s="256">
        <v>3.0000000000000001E-3</v>
      </c>
      <c r="F40" s="257">
        <v>3.0000000000000001E-3</v>
      </c>
      <c r="G40" s="266">
        <v>2E-3</v>
      </c>
      <c r="H40" s="257">
        <v>2E-3</v>
      </c>
    </row>
    <row r="41" spans="1:8">
      <c r="A41" s="218" t="s">
        <v>207</v>
      </c>
      <c r="B41" s="218"/>
      <c r="C41" s="256">
        <v>7.0000000000000001E-3</v>
      </c>
      <c r="D41" s="256">
        <v>7.0000000000000001E-3</v>
      </c>
      <c r="E41" s="256">
        <v>7.0000000000000001E-3</v>
      </c>
      <c r="F41" s="257">
        <v>7.0000000000000001E-3</v>
      </c>
      <c r="G41" s="266">
        <v>7.0000000000000001E-3</v>
      </c>
      <c r="H41" s="257">
        <v>7.0000000000000001E-3</v>
      </c>
    </row>
    <row r="42" spans="1:8">
      <c r="A42" s="218" t="s">
        <v>277</v>
      </c>
      <c r="B42" s="218"/>
      <c r="C42" s="258">
        <f t="shared" ref="C42:H42" si="2">+C39+C40+C41</f>
        <v>0.04</v>
      </c>
      <c r="D42" s="258">
        <f t="shared" si="2"/>
        <v>0.04</v>
      </c>
      <c r="E42" s="258">
        <f t="shared" si="2"/>
        <v>0.04</v>
      </c>
      <c r="F42" s="259">
        <f t="shared" si="2"/>
        <v>0.04</v>
      </c>
      <c r="G42" s="267">
        <f t="shared" si="2"/>
        <v>3.4000000000000002E-2</v>
      </c>
      <c r="H42" s="259">
        <f t="shared" si="2"/>
        <v>3.4000000000000002E-2</v>
      </c>
    </row>
    <row r="43" spans="1:8">
      <c r="A43" s="218" t="s">
        <v>267</v>
      </c>
      <c r="B43" s="218"/>
      <c r="C43" s="177">
        <f t="shared" ref="C43:H43" si="3">+C19</f>
        <v>70938.030791666679</v>
      </c>
      <c r="D43" s="177">
        <f t="shared" si="3"/>
        <v>70938.030791666679</v>
      </c>
      <c r="E43" s="177">
        <f t="shared" si="3"/>
        <v>82650.440499999997</v>
      </c>
      <c r="F43" s="248">
        <f t="shared" si="3"/>
        <v>74022.293000000005</v>
      </c>
      <c r="G43" s="197">
        <f t="shared" si="3"/>
        <v>78301.380499999999</v>
      </c>
      <c r="H43" s="248">
        <f t="shared" si="3"/>
        <v>78301.380499999999</v>
      </c>
    </row>
    <row r="44" spans="1:8" ht="29">
      <c r="A44" s="260" t="s">
        <v>281</v>
      </c>
      <c r="B44" s="218"/>
      <c r="C44" s="177">
        <f>+C26</f>
        <v>7680.9138888888883</v>
      </c>
      <c r="D44" s="177">
        <f>+D26</f>
        <v>8015</v>
      </c>
      <c r="E44" s="261">
        <v>0</v>
      </c>
      <c r="F44" s="248">
        <f>+F26</f>
        <v>8014.8666666666659</v>
      </c>
      <c r="G44" s="198">
        <v>0</v>
      </c>
      <c r="H44" s="250">
        <v>0</v>
      </c>
    </row>
    <row r="45" spans="1:8">
      <c r="A45" s="260" t="s">
        <v>279</v>
      </c>
      <c r="B45" s="218"/>
      <c r="C45" s="177">
        <f>+C29*C16</f>
        <v>587.58991249999997</v>
      </c>
      <c r="D45" s="177">
        <f>+D29*D16</f>
        <v>613.14750000000004</v>
      </c>
      <c r="E45" s="177">
        <f>+E29*E16</f>
        <v>0</v>
      </c>
      <c r="F45" s="248">
        <f>+F29*F16</f>
        <v>613.13729999999998</v>
      </c>
      <c r="G45" s="197"/>
      <c r="H45" s="248"/>
    </row>
    <row r="46" spans="1:8">
      <c r="A46" s="174" t="s">
        <v>278</v>
      </c>
      <c r="B46" s="174"/>
      <c r="C46" s="175">
        <f t="shared" ref="C46:H46" si="4">SUM(C43:C45)</f>
        <v>79206.534593055563</v>
      </c>
      <c r="D46" s="175">
        <f t="shared" si="4"/>
        <v>79566.178291666685</v>
      </c>
      <c r="E46" s="175">
        <f t="shared" si="4"/>
        <v>82650.440499999997</v>
      </c>
      <c r="F46" s="176">
        <f t="shared" si="4"/>
        <v>82650.296966666676</v>
      </c>
      <c r="G46" s="197">
        <f t="shared" si="4"/>
        <v>78301.380499999999</v>
      </c>
      <c r="H46" s="176">
        <f t="shared" si="4"/>
        <v>78301.380499999999</v>
      </c>
    </row>
    <row r="47" spans="1:8">
      <c r="A47" s="180" t="s">
        <v>276</v>
      </c>
      <c r="B47" s="180"/>
      <c r="C47" s="181">
        <f>+C46*C42</f>
        <v>3168.2613837222225</v>
      </c>
      <c r="D47" s="181">
        <f>+D46*D42+1</f>
        <v>3183.6471316666675</v>
      </c>
      <c r="E47" s="181">
        <f>+E46*E42+1</f>
        <v>3307.0176200000001</v>
      </c>
      <c r="F47" s="182">
        <f>+F46*F42+1</f>
        <v>3307.0118786666671</v>
      </c>
      <c r="G47" s="168">
        <f>ROUND(+G46*G42,0)</f>
        <v>2662</v>
      </c>
      <c r="H47" s="182">
        <f>+H46*H42</f>
        <v>2662.2469370000003</v>
      </c>
    </row>
    <row r="48" spans="1:8">
      <c r="D48" s="162"/>
      <c r="E48" s="162"/>
    </row>
    <row r="49" spans="1:10">
      <c r="A49" s="170" t="s">
        <v>113</v>
      </c>
      <c r="B49" s="171"/>
      <c r="C49" s="184"/>
      <c r="D49" s="184"/>
      <c r="E49" s="184"/>
      <c r="F49" s="185"/>
      <c r="G49" s="268"/>
      <c r="H49" s="185"/>
    </row>
    <row r="50" spans="1:10">
      <c r="A50" s="174" t="s">
        <v>283</v>
      </c>
      <c r="B50" s="174"/>
      <c r="C50" s="178">
        <v>1500</v>
      </c>
      <c r="D50" s="178">
        <v>1500</v>
      </c>
      <c r="E50" s="178">
        <v>1500</v>
      </c>
      <c r="F50" s="179">
        <v>1500</v>
      </c>
      <c r="G50" s="269">
        <v>1500</v>
      </c>
      <c r="H50" s="179">
        <v>1500</v>
      </c>
    </row>
    <row r="51" spans="1:10">
      <c r="A51" s="174" t="s">
        <v>284</v>
      </c>
      <c r="B51" s="174"/>
      <c r="C51" s="178">
        <v>1000</v>
      </c>
      <c r="D51" s="178">
        <v>1000</v>
      </c>
      <c r="E51" s="178">
        <v>1000</v>
      </c>
      <c r="F51" s="179">
        <v>1000</v>
      </c>
      <c r="G51" s="269">
        <v>1000</v>
      </c>
      <c r="H51" s="179">
        <v>700</v>
      </c>
      <c r="I51" s="183"/>
    </row>
    <row r="52" spans="1:10">
      <c r="A52" s="174" t="s">
        <v>113</v>
      </c>
      <c r="B52" s="174"/>
      <c r="C52" s="178">
        <v>600</v>
      </c>
      <c r="D52" s="178">
        <v>600</v>
      </c>
      <c r="E52" s="178">
        <v>600</v>
      </c>
      <c r="F52" s="179">
        <v>600</v>
      </c>
      <c r="G52" s="269">
        <v>600</v>
      </c>
      <c r="H52" s="179">
        <v>600</v>
      </c>
    </row>
    <row r="53" spans="1:10">
      <c r="A53" s="186" t="s">
        <v>308</v>
      </c>
      <c r="B53" s="186"/>
      <c r="C53" s="187"/>
      <c r="D53" s="187"/>
      <c r="E53" s="187"/>
      <c r="F53" s="188"/>
      <c r="G53" s="274">
        <f>40*12</f>
        <v>480</v>
      </c>
      <c r="H53" s="275">
        <f>25*12</f>
        <v>300</v>
      </c>
    </row>
    <row r="54" spans="1:10">
      <c r="A54" s="189" t="s">
        <v>286</v>
      </c>
      <c r="B54" s="189"/>
      <c r="C54" s="190">
        <f t="shared" ref="C54:H54" si="5">+SUM(C50:C53)</f>
        <v>3100</v>
      </c>
      <c r="D54" s="190">
        <f t="shared" si="5"/>
        <v>3100</v>
      </c>
      <c r="E54" s="190">
        <f t="shared" si="5"/>
        <v>3100</v>
      </c>
      <c r="F54" s="191">
        <f t="shared" si="5"/>
        <v>3100</v>
      </c>
      <c r="G54" s="270">
        <f t="shared" si="5"/>
        <v>3580</v>
      </c>
      <c r="H54" s="191">
        <f t="shared" si="5"/>
        <v>3100</v>
      </c>
    </row>
    <row r="56" spans="1:10">
      <c r="A56" s="192" t="s">
        <v>285</v>
      </c>
      <c r="B56" s="192"/>
      <c r="C56" s="193">
        <f t="shared" ref="C56:H56" si="6">+C19+C35+C47+C54</f>
        <v>92690.389451361116</v>
      </c>
      <c r="D56" s="193">
        <f t="shared" si="6"/>
        <v>93988.957535416688</v>
      </c>
      <c r="E56" s="193">
        <f t="shared" si="6"/>
        <v>98149.006574999992</v>
      </c>
      <c r="F56" s="194">
        <f t="shared" si="6"/>
        <v>96586.623775333341</v>
      </c>
      <c r="G56" s="195">
        <f t="shared" si="6"/>
        <v>100653.3805</v>
      </c>
      <c r="H56" s="194">
        <f t="shared" si="6"/>
        <v>97766.627437000003</v>
      </c>
      <c r="J56" s="162"/>
    </row>
    <row r="57" spans="1:10">
      <c r="A57" s="273"/>
      <c r="B57" s="273"/>
      <c r="C57" s="251"/>
      <c r="D57" s="251"/>
      <c r="E57" s="251"/>
      <c r="F57" s="251"/>
      <c r="G57" s="251"/>
      <c r="H57" s="251"/>
    </row>
    <row r="58" spans="1:10">
      <c r="A58" s="171"/>
      <c r="B58" s="172"/>
      <c r="C58" s="172" t="s">
        <v>288</v>
      </c>
      <c r="D58" s="172"/>
      <c r="E58" s="172"/>
      <c r="F58" s="172"/>
      <c r="G58" s="172"/>
      <c r="H58" s="173"/>
    </row>
    <row r="59" spans="1:10">
      <c r="A59" s="166" t="s">
        <v>289</v>
      </c>
      <c r="B59" s="272"/>
      <c r="C59" s="167">
        <f t="shared" ref="C59:H59" si="7">+C56-C17</f>
        <v>87649.275326361123</v>
      </c>
      <c r="D59" s="167">
        <f t="shared" si="7"/>
        <v>88947.843410416681</v>
      </c>
      <c r="E59" s="167">
        <f t="shared" si="7"/>
        <v>92275.566074999995</v>
      </c>
      <c r="F59" s="167">
        <f t="shared" si="7"/>
        <v>91326.330775333336</v>
      </c>
      <c r="G59" s="167">
        <f t="shared" si="7"/>
        <v>95089</v>
      </c>
      <c r="H59" s="168">
        <f t="shared" si="7"/>
        <v>92202.246937000004</v>
      </c>
    </row>
    <row r="60" spans="1:10">
      <c r="G60" s="271"/>
    </row>
  </sheetData>
  <mergeCells count="2">
    <mergeCell ref="A11:A13"/>
    <mergeCell ref="B1:F1"/>
  </mergeCells>
  <pageMargins left="0.7" right="0.7" top="0.75" bottom="0.75" header="0.3" footer="0.3"/>
  <pageSetup orientation="landscape" horizontalDpi="0" verticalDpi="0" r:id="rId1"/>
  <headerFooter>
    <oddHeader>&amp;R2019 Budget:  Pastor Karen</oddHead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N92"/>
  <sheetViews>
    <sheetView showGridLines="0" topLeftCell="A69" workbookViewId="0">
      <selection sqref="A1:L75"/>
    </sheetView>
  </sheetViews>
  <sheetFormatPr defaultRowHeight="14.5"/>
  <cols>
    <col min="1" max="1" width="7.453125" style="155" customWidth="1"/>
    <col min="2" max="2" width="39.26953125" style="155" customWidth="1"/>
    <col min="3" max="3" width="12.08984375" style="155" bestFit="1" customWidth="1"/>
    <col min="4" max="4" width="4" style="155" customWidth="1"/>
    <col min="5" max="5" width="4.54296875" style="155" customWidth="1"/>
    <col min="6" max="6" width="4" style="155" customWidth="1"/>
    <col min="7" max="7" width="4.54296875" style="155" customWidth="1"/>
    <col min="8" max="8" width="4" style="155" customWidth="1"/>
    <col min="9" max="9" width="4.54296875" style="155" customWidth="1"/>
    <col min="10" max="10" width="4" style="155" customWidth="1"/>
    <col min="11" max="11" width="4.54296875" style="155" customWidth="1"/>
    <col min="12" max="16384" width="8.7265625" style="155"/>
  </cols>
  <sheetData>
    <row r="1" spans="1:14" ht="21">
      <c r="A1" s="579" t="s">
        <v>375</v>
      </c>
      <c r="B1" s="579"/>
      <c r="C1" s="579"/>
      <c r="D1" s="579"/>
      <c r="E1" s="579"/>
      <c r="F1" s="579"/>
      <c r="G1" s="579"/>
      <c r="H1" s="579"/>
      <c r="I1" s="579"/>
      <c r="J1" s="579"/>
      <c r="K1" s="579"/>
      <c r="L1" s="579"/>
    </row>
    <row r="2" spans="1:14" ht="18.5">
      <c r="A2" s="580" t="s">
        <v>381</v>
      </c>
      <c r="B2" s="580"/>
      <c r="C2" s="580"/>
      <c r="D2" s="580"/>
      <c r="E2" s="580"/>
      <c r="F2" s="580"/>
      <c r="G2" s="580"/>
      <c r="H2" s="580"/>
      <c r="I2" s="580"/>
      <c r="J2" s="580"/>
      <c r="K2" s="580"/>
      <c r="L2" s="580"/>
    </row>
    <row r="3" spans="1:14" ht="15" thickBot="1"/>
    <row r="4" spans="1:14" ht="15" thickTop="1">
      <c r="A4" s="430" t="s">
        <v>313</v>
      </c>
      <c r="B4" s="431"/>
      <c r="C4" s="431"/>
      <c r="D4" s="431"/>
      <c r="E4" s="431"/>
      <c r="F4" s="431"/>
      <c r="G4" s="431"/>
      <c r="H4" s="431"/>
      <c r="I4" s="431"/>
      <c r="J4" s="431"/>
      <c r="K4" s="431"/>
      <c r="L4" s="432"/>
    </row>
    <row r="5" spans="1:14">
      <c r="A5" s="433"/>
      <c r="B5" s="378" t="s">
        <v>52</v>
      </c>
      <c r="C5" s="379">
        <v>15624</v>
      </c>
      <c r="D5" s="383"/>
      <c r="E5" s="378"/>
      <c r="F5" s="378"/>
      <c r="G5" s="378"/>
      <c r="H5" s="378"/>
      <c r="I5" s="378"/>
      <c r="J5" s="378"/>
      <c r="K5" s="378"/>
      <c r="L5" s="387"/>
    </row>
    <row r="6" spans="1:14">
      <c r="A6" s="433"/>
      <c r="B6" s="378" t="s">
        <v>176</v>
      </c>
      <c r="C6" s="379">
        <v>5208</v>
      </c>
      <c r="D6" s="378"/>
      <c r="E6" s="378"/>
      <c r="F6" s="378"/>
      <c r="G6" s="378"/>
      <c r="H6" s="378"/>
      <c r="I6" s="378"/>
      <c r="J6" s="378"/>
      <c r="K6" s="378"/>
      <c r="L6" s="387"/>
    </row>
    <row r="7" spans="1:14">
      <c r="A7" s="433"/>
      <c r="B7" s="378" t="s">
        <v>316</v>
      </c>
      <c r="C7" s="379">
        <v>1000</v>
      </c>
      <c r="D7" s="378" t="s">
        <v>317</v>
      </c>
      <c r="E7" s="378"/>
      <c r="F7" s="378"/>
      <c r="G7" s="378"/>
      <c r="H7" s="378"/>
      <c r="I7" s="378"/>
      <c r="J7" s="378"/>
      <c r="K7" s="378"/>
      <c r="L7" s="387"/>
    </row>
    <row r="8" spans="1:14">
      <c r="A8" s="433"/>
      <c r="B8" s="378" t="s">
        <v>123</v>
      </c>
      <c r="C8" s="379">
        <v>1000</v>
      </c>
      <c r="D8" s="378"/>
      <c r="E8" s="378"/>
      <c r="F8" s="378"/>
      <c r="G8" s="378"/>
      <c r="H8" s="378"/>
      <c r="I8" s="378"/>
      <c r="J8" s="378"/>
      <c r="K8" s="378"/>
      <c r="L8" s="387"/>
    </row>
    <row r="9" spans="1:14">
      <c r="A9" s="433"/>
      <c r="B9" s="378" t="s">
        <v>112</v>
      </c>
      <c r="C9" s="379">
        <v>900</v>
      </c>
      <c r="D9" s="378"/>
      <c r="E9" s="378"/>
      <c r="F9" s="378"/>
      <c r="G9" s="378"/>
      <c r="H9" s="378"/>
      <c r="I9" s="378"/>
      <c r="J9" s="378"/>
      <c r="K9" s="378"/>
      <c r="L9" s="387"/>
    </row>
    <row r="10" spans="1:14" ht="15" thickBot="1">
      <c r="A10" s="434" t="s">
        <v>199</v>
      </c>
      <c r="B10" s="407"/>
      <c r="C10" s="406">
        <f>SUM(C5:C9)</f>
        <v>23732</v>
      </c>
      <c r="D10" s="407"/>
      <c r="E10" s="407"/>
      <c r="F10" s="407"/>
      <c r="G10" s="407"/>
      <c r="H10" s="407"/>
      <c r="I10" s="407"/>
      <c r="J10" s="407"/>
      <c r="K10" s="407"/>
      <c r="L10" s="408"/>
    </row>
    <row r="11" spans="1:14" ht="15.5" thickTop="1" thickBot="1"/>
    <row r="12" spans="1:14" ht="15" thickTop="1">
      <c r="A12" s="430" t="s">
        <v>325</v>
      </c>
      <c r="B12" s="431"/>
      <c r="C12" s="431"/>
      <c r="D12" s="431"/>
      <c r="E12" s="431"/>
      <c r="F12" s="431"/>
      <c r="G12" s="431"/>
      <c r="H12" s="431"/>
      <c r="I12" s="431"/>
      <c r="J12" s="431"/>
      <c r="K12" s="431"/>
      <c r="L12" s="432"/>
    </row>
    <row r="13" spans="1:14">
      <c r="A13" s="433"/>
      <c r="B13" s="378"/>
      <c r="C13" s="378"/>
      <c r="D13" s="435">
        <v>4</v>
      </c>
      <c r="E13" s="378" t="s">
        <v>332</v>
      </c>
      <c r="F13" s="435">
        <v>4</v>
      </c>
      <c r="G13" s="378" t="s">
        <v>335</v>
      </c>
      <c r="H13" s="435">
        <v>4</v>
      </c>
      <c r="I13" s="378" t="s">
        <v>330</v>
      </c>
      <c r="J13" s="435">
        <v>4</v>
      </c>
      <c r="K13" s="378" t="s">
        <v>337</v>
      </c>
      <c r="L13" s="387"/>
    </row>
    <row r="14" spans="1:14">
      <c r="A14" s="433"/>
      <c r="B14" s="378"/>
      <c r="C14" s="378"/>
      <c r="D14" s="435">
        <v>4</v>
      </c>
      <c r="E14" s="378" t="s">
        <v>333</v>
      </c>
      <c r="F14" s="435">
        <v>4</v>
      </c>
      <c r="G14" s="378" t="s">
        <v>328</v>
      </c>
      <c r="H14" s="435">
        <v>4</v>
      </c>
      <c r="I14" s="378" t="s">
        <v>336</v>
      </c>
      <c r="J14" s="435">
        <v>4</v>
      </c>
      <c r="K14" s="378" t="s">
        <v>338</v>
      </c>
      <c r="L14" s="387"/>
    </row>
    <row r="15" spans="1:14">
      <c r="A15" s="438" t="s">
        <v>326</v>
      </c>
      <c r="B15" s="439" t="s">
        <v>327</v>
      </c>
      <c r="C15" s="440">
        <f>+SUM(D13:D15)+SUM(F13:F15)+SUM(H13:H15)+SUM(J13:J15)</f>
        <v>52</v>
      </c>
      <c r="D15" s="441">
        <v>5</v>
      </c>
      <c r="E15" s="439" t="s">
        <v>334</v>
      </c>
      <c r="F15" s="441">
        <v>5</v>
      </c>
      <c r="G15" s="439" t="s">
        <v>329</v>
      </c>
      <c r="H15" s="441">
        <v>5</v>
      </c>
      <c r="I15" s="439" t="s">
        <v>331</v>
      </c>
      <c r="J15" s="441">
        <v>5</v>
      </c>
      <c r="K15" s="439" t="s">
        <v>339</v>
      </c>
      <c r="L15" s="442"/>
    </row>
    <row r="16" spans="1:14">
      <c r="A16" s="443"/>
      <c r="B16" s="444" t="s">
        <v>340</v>
      </c>
      <c r="C16" s="445">
        <v>4</v>
      </c>
      <c r="D16" s="444"/>
      <c r="E16" s="444"/>
      <c r="F16" s="444"/>
      <c r="G16" s="444"/>
      <c r="H16" s="444"/>
      <c r="I16" s="444"/>
      <c r="J16" s="444"/>
      <c r="K16" s="444"/>
      <c r="L16" s="446"/>
      <c r="N16" s="155" t="s">
        <v>403</v>
      </c>
    </row>
    <row r="17" spans="1:12">
      <c r="A17" s="443"/>
      <c r="B17" s="444" t="s">
        <v>341</v>
      </c>
      <c r="C17" s="445">
        <v>6</v>
      </c>
      <c r="D17" s="444"/>
      <c r="E17" s="444"/>
      <c r="F17" s="444"/>
      <c r="G17" s="444"/>
      <c r="H17" s="444"/>
      <c r="I17" s="444"/>
      <c r="J17" s="444"/>
      <c r="K17" s="444"/>
      <c r="L17" s="446"/>
    </row>
    <row r="18" spans="1:12">
      <c r="A18" s="447"/>
      <c r="B18" s="448" t="s">
        <v>342</v>
      </c>
      <c r="C18" s="449">
        <v>1</v>
      </c>
      <c r="D18" s="448"/>
      <c r="E18" s="448"/>
      <c r="F18" s="448"/>
      <c r="G18" s="448"/>
      <c r="H18" s="448"/>
      <c r="I18" s="448"/>
      <c r="J18" s="448"/>
      <c r="K18" s="448"/>
      <c r="L18" s="450"/>
    </row>
    <row r="19" spans="1:12" ht="15" thickBot="1">
      <c r="A19" s="436"/>
      <c r="B19" s="403" t="s">
        <v>344</v>
      </c>
      <c r="C19" s="437">
        <v>15</v>
      </c>
      <c r="D19" s="403" t="s">
        <v>343</v>
      </c>
      <c r="E19" s="403"/>
      <c r="F19" s="403"/>
      <c r="G19" s="403"/>
      <c r="H19" s="403"/>
      <c r="I19" s="403"/>
      <c r="J19" s="403"/>
      <c r="K19" s="403"/>
      <c r="L19" s="404"/>
    </row>
    <row r="20" spans="1:12" ht="15" thickTop="1"/>
    <row r="21" spans="1:12" ht="21.5" thickBot="1">
      <c r="A21" s="451" t="s">
        <v>314</v>
      </c>
    </row>
    <row r="22" spans="1:12" ht="78" customHeight="1" thickTop="1" thickBot="1">
      <c r="A22" s="409" t="s">
        <v>315</v>
      </c>
      <c r="B22" s="410"/>
      <c r="C22" s="429">
        <v>3000</v>
      </c>
      <c r="D22" s="410"/>
      <c r="E22" s="577" t="s">
        <v>389</v>
      </c>
      <c r="F22" s="577"/>
      <c r="G22" s="577"/>
      <c r="H22" s="577"/>
      <c r="I22" s="577"/>
      <c r="J22" s="577"/>
      <c r="K22" s="577"/>
      <c r="L22" s="578"/>
    </row>
    <row r="23" spans="1:12" ht="15.5" thickTop="1" thickBot="1">
      <c r="A23" s="381"/>
      <c r="B23" s="237"/>
      <c r="C23" s="382"/>
      <c r="D23" s="237"/>
      <c r="E23" s="237"/>
      <c r="F23" s="237"/>
      <c r="H23" s="237"/>
      <c r="J23" s="237"/>
    </row>
    <row r="24" spans="1:12" ht="15.5" thickTop="1" thickBot="1">
      <c r="A24" s="409" t="s">
        <v>353</v>
      </c>
      <c r="B24" s="410"/>
      <c r="C24" s="410"/>
      <c r="D24" s="410"/>
      <c r="E24" s="410"/>
      <c r="F24" s="410"/>
      <c r="G24" s="410"/>
      <c r="H24" s="410"/>
      <c r="I24" s="410"/>
      <c r="J24" s="410"/>
      <c r="K24" s="410"/>
      <c r="L24" s="411"/>
    </row>
    <row r="25" spans="1:12" ht="15" thickTop="1">
      <c r="A25" s="566" t="s">
        <v>355</v>
      </c>
      <c r="B25" s="414" t="s">
        <v>360</v>
      </c>
      <c r="C25" s="415">
        <f>+C15-C19</f>
        <v>37</v>
      </c>
      <c r="D25" s="416"/>
      <c r="E25" s="416" t="s">
        <v>388</v>
      </c>
      <c r="F25" s="417"/>
      <c r="G25" s="416"/>
      <c r="H25" s="417"/>
      <c r="I25" s="416"/>
      <c r="J25" s="417"/>
      <c r="K25" s="416"/>
      <c r="L25" s="418"/>
    </row>
    <row r="26" spans="1:12">
      <c r="A26" s="567"/>
      <c r="B26" s="377" t="s">
        <v>359</v>
      </c>
      <c r="C26" s="396">
        <v>1</v>
      </c>
      <c r="D26" s="384"/>
      <c r="E26" s="378"/>
      <c r="F26" s="413"/>
      <c r="G26" s="378"/>
      <c r="H26" s="413"/>
      <c r="I26" s="378"/>
      <c r="J26" s="413"/>
      <c r="K26" s="378"/>
      <c r="L26" s="387"/>
    </row>
    <row r="27" spans="1:12">
      <c r="A27" s="567"/>
      <c r="B27" s="388" t="s">
        <v>357</v>
      </c>
      <c r="C27" s="397">
        <f>+C25*C26</f>
        <v>37</v>
      </c>
      <c r="D27" s="389"/>
      <c r="E27" s="389"/>
      <c r="F27" s="419"/>
      <c r="G27" s="389"/>
      <c r="H27" s="419"/>
      <c r="I27" s="389"/>
      <c r="J27" s="419"/>
      <c r="K27" s="389"/>
      <c r="L27" s="391"/>
    </row>
    <row r="28" spans="1:12">
      <c r="A28" s="568"/>
      <c r="B28" s="385" t="s">
        <v>324</v>
      </c>
      <c r="C28" s="395"/>
      <c r="D28" s="172"/>
      <c r="E28" s="172"/>
      <c r="F28" s="239"/>
      <c r="G28" s="172"/>
      <c r="H28" s="239"/>
      <c r="I28" s="172"/>
      <c r="J28" s="239"/>
      <c r="K28" s="172"/>
      <c r="L28" s="386"/>
    </row>
    <row r="29" spans="1:12">
      <c r="A29" s="568"/>
      <c r="B29" s="377" t="s">
        <v>322</v>
      </c>
      <c r="C29" s="396">
        <v>0</v>
      </c>
      <c r="D29" s="378"/>
      <c r="E29" s="378" t="s">
        <v>345</v>
      </c>
      <c r="F29" s="219"/>
      <c r="G29" s="378"/>
      <c r="H29" s="219"/>
      <c r="I29" s="378"/>
      <c r="J29" s="219"/>
      <c r="K29" s="378"/>
      <c r="L29" s="387"/>
    </row>
    <row r="30" spans="1:12">
      <c r="A30" s="568"/>
      <c r="B30" s="388" t="s">
        <v>323</v>
      </c>
      <c r="C30" s="397">
        <f>+C17</f>
        <v>6</v>
      </c>
      <c r="D30" s="389"/>
      <c r="E30" s="389" t="s">
        <v>346</v>
      </c>
      <c r="F30" s="390"/>
      <c r="G30" s="389"/>
      <c r="H30" s="390"/>
      <c r="I30" s="389"/>
      <c r="J30" s="390"/>
      <c r="K30" s="389"/>
      <c r="L30" s="391"/>
    </row>
    <row r="31" spans="1:12">
      <c r="A31" s="568"/>
      <c r="B31" s="385" t="s">
        <v>321</v>
      </c>
      <c r="C31" s="398">
        <f>SUM(C27:C30)</f>
        <v>43</v>
      </c>
      <c r="D31" s="172"/>
      <c r="E31" s="172"/>
      <c r="F31" s="239"/>
      <c r="G31" s="172"/>
      <c r="H31" s="239"/>
      <c r="I31" s="172"/>
      <c r="J31" s="239"/>
      <c r="K31" s="172"/>
      <c r="L31" s="386"/>
    </row>
    <row r="32" spans="1:12">
      <c r="A32" s="568"/>
      <c r="B32" s="377" t="s">
        <v>361</v>
      </c>
      <c r="C32" s="412">
        <f>C25</f>
        <v>37</v>
      </c>
      <c r="D32" s="378"/>
      <c r="E32" s="378" t="s">
        <v>358</v>
      </c>
      <c r="F32" s="219"/>
      <c r="G32" s="378"/>
      <c r="H32" s="219"/>
      <c r="I32" s="378"/>
      <c r="J32" s="219"/>
      <c r="K32" s="378"/>
      <c r="L32" s="387"/>
    </row>
    <row r="33" spans="1:14">
      <c r="A33" s="568"/>
      <c r="B33" s="388" t="s">
        <v>356</v>
      </c>
      <c r="C33" s="399">
        <f>+C31+C32</f>
        <v>80</v>
      </c>
      <c r="D33" s="389"/>
      <c r="E33" s="389"/>
      <c r="F33" s="390"/>
      <c r="G33" s="389"/>
      <c r="H33" s="390"/>
      <c r="I33" s="389"/>
      <c r="J33" s="390"/>
      <c r="K33" s="389"/>
      <c r="L33" s="391"/>
    </row>
    <row r="34" spans="1:14">
      <c r="A34" s="569" t="s">
        <v>350</v>
      </c>
      <c r="B34" s="172" t="s">
        <v>367</v>
      </c>
      <c r="C34" s="395">
        <v>6</v>
      </c>
      <c r="D34" s="172"/>
      <c r="E34" s="172" t="s">
        <v>378</v>
      </c>
      <c r="F34" s="239"/>
      <c r="G34" s="172"/>
      <c r="H34" s="239"/>
      <c r="I34" s="172"/>
      <c r="J34" s="239"/>
      <c r="K34" s="172"/>
      <c r="L34" s="386"/>
    </row>
    <row r="35" spans="1:14">
      <c r="A35" s="570"/>
      <c r="B35" s="378" t="s">
        <v>348</v>
      </c>
      <c r="C35" s="393">
        <v>25</v>
      </c>
      <c r="D35" s="378"/>
      <c r="E35" s="378"/>
      <c r="F35" s="219"/>
      <c r="G35" s="378"/>
      <c r="H35" s="219"/>
      <c r="I35" s="378"/>
      <c r="J35" s="219"/>
      <c r="K35" s="378"/>
      <c r="L35" s="387"/>
      <c r="N35" s="162"/>
    </row>
    <row r="36" spans="1:14">
      <c r="A36" s="571"/>
      <c r="B36" s="389" t="s">
        <v>349</v>
      </c>
      <c r="C36" s="394">
        <v>30</v>
      </c>
      <c r="D36" s="389"/>
      <c r="E36" s="389"/>
      <c r="F36" s="390"/>
      <c r="G36" s="389"/>
      <c r="H36" s="390"/>
      <c r="I36" s="389"/>
      <c r="J36" s="390"/>
      <c r="K36" s="389"/>
      <c r="L36" s="391"/>
    </row>
    <row r="37" spans="1:14">
      <c r="A37" s="569" t="s">
        <v>352</v>
      </c>
      <c r="B37" s="172" t="s">
        <v>347</v>
      </c>
      <c r="C37" s="400">
        <f>+C32*C34*C35</f>
        <v>5550</v>
      </c>
      <c r="D37" s="172"/>
      <c r="E37" s="172"/>
      <c r="F37" s="239"/>
      <c r="G37" s="172"/>
      <c r="H37" s="239"/>
      <c r="I37" s="172"/>
      <c r="J37" s="239"/>
      <c r="K37" s="172"/>
      <c r="L37" s="386"/>
    </row>
    <row r="38" spans="1:14">
      <c r="A38" s="570"/>
      <c r="B38" s="378" t="s">
        <v>351</v>
      </c>
      <c r="C38" s="401">
        <f>+C31*C34*C36</f>
        <v>7740</v>
      </c>
      <c r="D38" s="378"/>
      <c r="E38" s="378"/>
      <c r="F38" s="219"/>
      <c r="G38" s="402"/>
      <c r="H38" s="219"/>
      <c r="I38" s="378"/>
      <c r="J38" s="219"/>
      <c r="K38" s="378"/>
      <c r="L38" s="387"/>
    </row>
    <row r="39" spans="1:14" ht="15" thickBot="1">
      <c r="A39" s="572"/>
      <c r="B39" s="405" t="s">
        <v>362</v>
      </c>
      <c r="C39" s="406">
        <f>+C37+C38</f>
        <v>13290</v>
      </c>
      <c r="D39" s="407"/>
      <c r="E39" s="407" t="s">
        <v>379</v>
      </c>
      <c r="F39" s="407"/>
      <c r="G39" s="407"/>
      <c r="H39" s="407"/>
      <c r="I39" s="407"/>
      <c r="J39" s="407"/>
      <c r="K39" s="407"/>
      <c r="L39" s="408"/>
    </row>
    <row r="40" spans="1:14" ht="15.5" thickTop="1" thickBot="1">
      <c r="F40" s="237"/>
      <c r="H40" s="237"/>
      <c r="J40" s="237"/>
    </row>
    <row r="41" spans="1:14" ht="15.5" thickTop="1" thickBot="1">
      <c r="A41" s="409" t="s">
        <v>354</v>
      </c>
      <c r="B41" s="410"/>
      <c r="C41" s="410"/>
      <c r="D41" s="410"/>
      <c r="E41" s="410"/>
      <c r="F41" s="410"/>
      <c r="G41" s="410"/>
      <c r="H41" s="410"/>
      <c r="I41" s="410"/>
      <c r="J41" s="410"/>
      <c r="K41" s="410"/>
      <c r="L41" s="411"/>
    </row>
    <row r="42" spans="1:14" ht="15" customHeight="1" thickTop="1">
      <c r="A42" s="573" t="s">
        <v>355</v>
      </c>
      <c r="B42" s="416" t="s">
        <v>360</v>
      </c>
      <c r="C42" s="415">
        <f>+C15</f>
        <v>52</v>
      </c>
      <c r="D42" s="416"/>
      <c r="E42" s="416"/>
      <c r="F42" s="417"/>
      <c r="G42" s="416"/>
      <c r="H42" s="417"/>
      <c r="I42" s="416"/>
      <c r="J42" s="417"/>
      <c r="K42" s="416"/>
      <c r="L42" s="418"/>
    </row>
    <row r="43" spans="1:14">
      <c r="A43" s="574"/>
      <c r="B43" s="378" t="s">
        <v>359</v>
      </c>
      <c r="C43" s="396">
        <v>2</v>
      </c>
      <c r="D43" s="378"/>
      <c r="E43" s="378"/>
      <c r="F43" s="219"/>
      <c r="G43" s="378"/>
      <c r="H43" s="219"/>
      <c r="I43" s="378"/>
      <c r="J43" s="219"/>
      <c r="K43" s="378"/>
      <c r="L43" s="387"/>
    </row>
    <row r="44" spans="1:14">
      <c r="A44" s="574"/>
      <c r="B44" s="389" t="s">
        <v>357</v>
      </c>
      <c r="C44" s="397">
        <f>+C42*C43</f>
        <v>104</v>
      </c>
      <c r="D44" s="389"/>
      <c r="E44" s="389"/>
      <c r="F44" s="390"/>
      <c r="G44" s="389"/>
      <c r="H44" s="390"/>
      <c r="I44" s="389"/>
      <c r="J44" s="390"/>
      <c r="K44" s="389"/>
      <c r="L44" s="391"/>
    </row>
    <row r="45" spans="1:14">
      <c r="A45" s="574"/>
      <c r="B45" s="172" t="s">
        <v>324</v>
      </c>
      <c r="C45" s="398"/>
      <c r="D45" s="172"/>
      <c r="E45" s="172"/>
      <c r="F45" s="239"/>
      <c r="G45" s="172"/>
      <c r="H45" s="239"/>
      <c r="I45" s="172"/>
      <c r="J45" s="239"/>
      <c r="K45" s="172"/>
      <c r="L45" s="386"/>
    </row>
    <row r="46" spans="1:14">
      <c r="A46" s="574"/>
      <c r="B46" s="378" t="s">
        <v>363</v>
      </c>
      <c r="C46" s="412">
        <f>+C16</f>
        <v>4</v>
      </c>
      <c r="D46" s="378"/>
      <c r="E46" s="378"/>
      <c r="F46" s="219"/>
      <c r="G46" s="378"/>
      <c r="H46" s="219"/>
      <c r="I46" s="378"/>
      <c r="J46" s="219"/>
      <c r="K46" s="378"/>
      <c r="L46" s="387"/>
    </row>
    <row r="47" spans="1:14">
      <c r="A47" s="574"/>
      <c r="B47" s="378" t="s">
        <v>364</v>
      </c>
      <c r="C47" s="412">
        <f>+C17</f>
        <v>6</v>
      </c>
      <c r="D47" s="378"/>
      <c r="E47" s="378"/>
      <c r="F47" s="219"/>
      <c r="G47" s="378"/>
      <c r="H47" s="219"/>
      <c r="I47" s="378"/>
      <c r="J47" s="219"/>
      <c r="K47" s="378"/>
      <c r="L47" s="387"/>
    </row>
    <row r="48" spans="1:14">
      <c r="A48" s="574"/>
      <c r="B48" s="219" t="s">
        <v>365</v>
      </c>
      <c r="C48" s="421">
        <v>20</v>
      </c>
      <c r="D48" s="219"/>
      <c r="E48" s="219" t="s">
        <v>391</v>
      </c>
      <c r="F48" s="219"/>
      <c r="G48" s="219"/>
      <c r="H48" s="219"/>
      <c r="I48" s="219"/>
      <c r="J48" s="219"/>
      <c r="K48" s="219"/>
      <c r="L48" s="422"/>
    </row>
    <row r="49" spans="1:12">
      <c r="A49" s="575"/>
      <c r="B49" s="390" t="s">
        <v>366</v>
      </c>
      <c r="C49" s="390">
        <f>SUM(C44:C48)</f>
        <v>134</v>
      </c>
      <c r="D49" s="390"/>
      <c r="E49" s="390"/>
      <c r="F49" s="390"/>
      <c r="G49" s="390"/>
      <c r="H49" s="390"/>
      <c r="I49" s="390"/>
      <c r="J49" s="390"/>
      <c r="K49" s="390"/>
      <c r="L49" s="420"/>
    </row>
    <row r="50" spans="1:12">
      <c r="A50" s="563" t="s">
        <v>370</v>
      </c>
      <c r="B50" s="172" t="s">
        <v>369</v>
      </c>
      <c r="C50" s="184">
        <v>1</v>
      </c>
      <c r="D50" s="172"/>
      <c r="E50" s="172"/>
      <c r="F50" s="239"/>
      <c r="G50" s="172"/>
      <c r="H50" s="239"/>
      <c r="I50" s="172"/>
      <c r="J50" s="239"/>
      <c r="K50" s="172"/>
      <c r="L50" s="386"/>
    </row>
    <row r="51" spans="1:12">
      <c r="A51" s="562"/>
      <c r="B51" s="389" t="s">
        <v>368</v>
      </c>
      <c r="C51" s="392">
        <v>25</v>
      </c>
      <c r="D51" s="389"/>
      <c r="E51" s="389"/>
      <c r="F51" s="390"/>
      <c r="G51" s="389"/>
      <c r="H51" s="390"/>
      <c r="I51" s="389"/>
      <c r="J51" s="390"/>
      <c r="K51" s="389"/>
      <c r="L51" s="391"/>
    </row>
    <row r="52" spans="1:12" ht="29" customHeight="1" thickBot="1">
      <c r="A52" s="423" t="s">
        <v>352</v>
      </c>
      <c r="B52" s="424" t="s">
        <v>318</v>
      </c>
      <c r="C52" s="425">
        <f>+C49*C50*C51</f>
        <v>3350</v>
      </c>
      <c r="D52" s="426"/>
      <c r="E52" s="581" t="s">
        <v>390</v>
      </c>
      <c r="F52" s="581"/>
      <c r="G52" s="581"/>
      <c r="H52" s="581"/>
      <c r="I52" s="581"/>
      <c r="J52" s="581"/>
      <c r="K52" s="581"/>
      <c r="L52" s="582"/>
    </row>
    <row r="53" spans="1:12" ht="15.5" thickTop="1" thickBot="1">
      <c r="F53" s="237"/>
      <c r="H53" s="237"/>
      <c r="J53" s="237"/>
    </row>
    <row r="54" spans="1:12" ht="15.5" thickTop="1" thickBot="1">
      <c r="A54" s="409" t="s">
        <v>396</v>
      </c>
      <c r="B54" s="410"/>
      <c r="C54" s="410"/>
      <c r="D54" s="410"/>
      <c r="E54" s="410"/>
      <c r="F54" s="410"/>
      <c r="G54" s="410"/>
      <c r="H54" s="410"/>
      <c r="I54" s="410"/>
      <c r="J54" s="410"/>
      <c r="K54" s="410"/>
      <c r="L54" s="411"/>
    </row>
    <row r="55" spans="1:12" ht="15" customHeight="1" thickTop="1">
      <c r="A55" s="560" t="s">
        <v>355</v>
      </c>
      <c r="B55" s="416" t="s">
        <v>360</v>
      </c>
      <c r="C55" s="415">
        <f>+C19</f>
        <v>15</v>
      </c>
      <c r="D55" s="416"/>
      <c r="E55" s="416" t="str">
        <f>+D19</f>
        <v>Memorial Day (May 27) - Labor Day (Sept 2)</v>
      </c>
      <c r="F55" s="417"/>
      <c r="G55" s="416"/>
      <c r="H55" s="417"/>
      <c r="I55" s="416"/>
      <c r="J55" s="417"/>
      <c r="K55" s="416"/>
      <c r="L55" s="418"/>
    </row>
    <row r="56" spans="1:12">
      <c r="A56" s="561"/>
      <c r="B56" s="378" t="s">
        <v>359</v>
      </c>
      <c r="C56" s="396">
        <v>1</v>
      </c>
      <c r="D56" s="378"/>
      <c r="E56" s="378"/>
      <c r="F56" s="219"/>
      <c r="G56" s="378"/>
      <c r="H56" s="219"/>
      <c r="I56" s="378"/>
      <c r="J56" s="219"/>
      <c r="K56" s="378"/>
      <c r="L56" s="387"/>
    </row>
    <row r="57" spans="1:12">
      <c r="A57" s="562"/>
      <c r="B57" s="389" t="s">
        <v>357</v>
      </c>
      <c r="C57" s="397">
        <f>+C55*C56</f>
        <v>15</v>
      </c>
      <c r="D57" s="389"/>
      <c r="E57" s="389"/>
      <c r="F57" s="390"/>
      <c r="G57" s="389"/>
      <c r="H57" s="390"/>
      <c r="I57" s="389"/>
      <c r="J57" s="390"/>
      <c r="K57" s="389"/>
      <c r="L57" s="391"/>
    </row>
    <row r="58" spans="1:12">
      <c r="A58" s="563" t="s">
        <v>370</v>
      </c>
      <c r="B58" s="172" t="s">
        <v>371</v>
      </c>
      <c r="C58" s="184">
        <v>3</v>
      </c>
      <c r="D58" s="172"/>
      <c r="E58" s="172" t="s">
        <v>372</v>
      </c>
      <c r="F58" s="239"/>
      <c r="G58" s="172"/>
      <c r="H58" s="239"/>
      <c r="I58" s="172"/>
      <c r="J58" s="239"/>
      <c r="K58" s="172"/>
      <c r="L58" s="386"/>
    </row>
    <row r="59" spans="1:12">
      <c r="A59" s="562"/>
      <c r="B59" s="389" t="s">
        <v>373</v>
      </c>
      <c r="C59" s="392">
        <v>50</v>
      </c>
      <c r="D59" s="389"/>
      <c r="E59" s="389"/>
      <c r="F59" s="390"/>
      <c r="G59" s="389"/>
      <c r="H59" s="390"/>
      <c r="I59" s="389"/>
      <c r="J59" s="390"/>
      <c r="K59" s="389"/>
      <c r="L59" s="391"/>
    </row>
    <row r="60" spans="1:12" ht="15" thickBot="1">
      <c r="A60" s="455" t="s">
        <v>352</v>
      </c>
      <c r="B60" s="452" t="s">
        <v>380</v>
      </c>
      <c r="C60" s="456">
        <f>+C57*C58*C59</f>
        <v>2250</v>
      </c>
      <c r="D60" s="239"/>
      <c r="E60" s="239"/>
      <c r="F60" s="239"/>
      <c r="G60" s="239"/>
      <c r="H60" s="239"/>
      <c r="I60" s="239"/>
      <c r="J60" s="239"/>
      <c r="K60" s="239"/>
      <c r="L60" s="453"/>
    </row>
    <row r="61" spans="1:12" ht="15" customHeight="1">
      <c r="A61" s="576" t="s">
        <v>370</v>
      </c>
      <c r="B61" s="457" t="s">
        <v>383</v>
      </c>
      <c r="C61" s="458">
        <v>2</v>
      </c>
      <c r="D61" s="457"/>
      <c r="E61" s="457" t="s">
        <v>372</v>
      </c>
      <c r="F61" s="459"/>
      <c r="G61" s="457"/>
      <c r="H61" s="459"/>
      <c r="I61" s="457"/>
      <c r="J61" s="459"/>
      <c r="K61" s="457"/>
      <c r="L61" s="460"/>
    </row>
    <row r="62" spans="1:12" ht="15" customHeight="1">
      <c r="A62" s="562"/>
      <c r="B62" s="389" t="s">
        <v>382</v>
      </c>
      <c r="C62" s="392">
        <v>25</v>
      </c>
      <c r="D62" s="389"/>
      <c r="E62" s="389"/>
      <c r="F62" s="390"/>
      <c r="G62" s="389"/>
      <c r="H62" s="390"/>
      <c r="I62" s="389"/>
      <c r="J62" s="390"/>
      <c r="K62" s="389"/>
      <c r="L62" s="391"/>
    </row>
    <row r="63" spans="1:12" ht="15" thickBot="1">
      <c r="A63" s="461" t="s">
        <v>352</v>
      </c>
      <c r="B63" s="462" t="s">
        <v>384</v>
      </c>
      <c r="C63" s="463">
        <f>+C55*C61*C62</f>
        <v>750</v>
      </c>
      <c r="D63" s="464"/>
      <c r="E63" s="464"/>
      <c r="F63" s="464"/>
      <c r="G63" s="464"/>
      <c r="H63" s="464"/>
      <c r="I63" s="464"/>
      <c r="J63" s="464"/>
      <c r="K63" s="464"/>
      <c r="L63" s="465"/>
    </row>
    <row r="64" spans="1:12" ht="15" thickBot="1">
      <c r="A64" s="423" t="s">
        <v>352</v>
      </c>
      <c r="B64" s="405" t="s">
        <v>385</v>
      </c>
      <c r="C64" s="406">
        <f>+C60+C63</f>
        <v>3000</v>
      </c>
      <c r="D64" s="407"/>
      <c r="E64" s="407"/>
      <c r="F64" s="407"/>
      <c r="G64" s="407"/>
      <c r="H64" s="407"/>
      <c r="I64" s="407"/>
      <c r="J64" s="407"/>
      <c r="K64" s="407"/>
      <c r="L64" s="408"/>
    </row>
    <row r="65" spans="1:12" ht="15.5" thickTop="1" thickBot="1">
      <c r="A65" s="454"/>
      <c r="B65" s="378"/>
      <c r="C65" s="379"/>
      <c r="D65" s="378"/>
      <c r="E65" s="378"/>
      <c r="F65" s="219"/>
      <c r="G65" s="378"/>
      <c r="H65" s="219"/>
      <c r="I65" s="378"/>
      <c r="J65" s="219"/>
      <c r="K65" s="378"/>
      <c r="L65" s="378"/>
    </row>
    <row r="66" spans="1:12" ht="15.5" thickTop="1" thickBot="1">
      <c r="A66" s="409" t="s">
        <v>320</v>
      </c>
      <c r="B66" s="410"/>
      <c r="C66" s="410"/>
      <c r="D66" s="410"/>
      <c r="E66" s="410"/>
      <c r="F66" s="410"/>
      <c r="G66" s="410"/>
      <c r="H66" s="410"/>
      <c r="I66" s="410"/>
      <c r="J66" s="410"/>
      <c r="K66" s="410"/>
      <c r="L66" s="411"/>
    </row>
    <row r="67" spans="1:12" ht="15" customHeight="1" thickTop="1">
      <c r="A67" s="560" t="s">
        <v>355</v>
      </c>
      <c r="B67" s="416" t="s">
        <v>360</v>
      </c>
      <c r="C67" s="415">
        <f>+C25</f>
        <v>37</v>
      </c>
      <c r="D67" s="416"/>
      <c r="E67" s="416" t="s">
        <v>376</v>
      </c>
      <c r="F67" s="417"/>
      <c r="G67" s="416"/>
      <c r="H67" s="417"/>
      <c r="I67" s="416"/>
      <c r="J67" s="417"/>
      <c r="K67" s="416"/>
      <c r="L67" s="418"/>
    </row>
    <row r="68" spans="1:12">
      <c r="A68" s="561"/>
      <c r="B68" s="378" t="s">
        <v>359</v>
      </c>
      <c r="C68" s="396">
        <v>1</v>
      </c>
      <c r="D68" s="378"/>
      <c r="E68" s="378"/>
      <c r="F68" s="219"/>
      <c r="G68" s="378"/>
      <c r="H68" s="219"/>
      <c r="I68" s="378"/>
      <c r="J68" s="219"/>
      <c r="K68" s="378"/>
      <c r="L68" s="387"/>
    </row>
    <row r="69" spans="1:12">
      <c r="A69" s="562"/>
      <c r="B69" s="389" t="s">
        <v>357</v>
      </c>
      <c r="C69" s="397">
        <f>+C67*C68</f>
        <v>37</v>
      </c>
      <c r="D69" s="389"/>
      <c r="E69" s="389"/>
      <c r="F69" s="390"/>
      <c r="G69" s="389"/>
      <c r="H69" s="390"/>
      <c r="I69" s="389"/>
      <c r="J69" s="390"/>
      <c r="K69" s="389"/>
      <c r="L69" s="391"/>
    </row>
    <row r="70" spans="1:12">
      <c r="A70" s="563" t="s">
        <v>370</v>
      </c>
      <c r="B70" s="172" t="s">
        <v>377</v>
      </c>
      <c r="C70" s="184">
        <v>1</v>
      </c>
      <c r="D70" s="172"/>
      <c r="E70" s="172"/>
      <c r="F70" s="239"/>
      <c r="G70" s="172"/>
      <c r="H70" s="239"/>
      <c r="I70" s="172"/>
      <c r="J70" s="239"/>
      <c r="K70" s="172"/>
      <c r="L70" s="386"/>
    </row>
    <row r="71" spans="1:12">
      <c r="A71" s="562"/>
      <c r="B71" s="389" t="s">
        <v>373</v>
      </c>
      <c r="C71" s="392">
        <v>25</v>
      </c>
      <c r="D71" s="389"/>
      <c r="E71" s="389"/>
      <c r="F71" s="390"/>
      <c r="G71" s="389"/>
      <c r="H71" s="390"/>
      <c r="I71" s="389"/>
      <c r="J71" s="390"/>
      <c r="K71" s="389"/>
      <c r="L71" s="391"/>
    </row>
    <row r="72" spans="1:12" ht="15" thickBot="1">
      <c r="A72" s="423" t="s">
        <v>352</v>
      </c>
      <c r="B72" s="424" t="s">
        <v>374</v>
      </c>
      <c r="C72" s="425">
        <f>+C69*C70*C71</f>
        <v>925</v>
      </c>
      <c r="D72" s="426"/>
      <c r="E72" s="426"/>
      <c r="F72" s="426"/>
      <c r="G72" s="426"/>
      <c r="H72" s="426"/>
      <c r="I72" s="426"/>
      <c r="J72" s="426"/>
      <c r="K72" s="426"/>
      <c r="L72" s="427"/>
    </row>
    <row r="73" spans="1:12" ht="15.5" thickTop="1" thickBot="1">
      <c r="C73" s="380"/>
      <c r="F73" s="237"/>
      <c r="H73" s="237"/>
      <c r="J73" s="237"/>
    </row>
    <row r="74" spans="1:12" ht="15.5" thickTop="1" thickBot="1">
      <c r="A74" s="564" t="s">
        <v>374</v>
      </c>
      <c r="B74" s="565"/>
      <c r="C74" s="428">
        <f>+C22+C39+C52+C64+C72</f>
        <v>23565</v>
      </c>
      <c r="D74" s="410"/>
      <c r="E74" s="410"/>
      <c r="F74" s="410"/>
      <c r="G74" s="410"/>
      <c r="H74" s="410"/>
      <c r="I74" s="410"/>
      <c r="J74" s="410"/>
      <c r="K74" s="410"/>
      <c r="L74" s="411"/>
    </row>
    <row r="75" spans="1:12" ht="15" thickTop="1">
      <c r="B75" s="155" t="s">
        <v>319</v>
      </c>
      <c r="C75" s="162">
        <f>+C10-C74</f>
        <v>167</v>
      </c>
      <c r="F75" s="237"/>
      <c r="H75" s="237"/>
      <c r="J75" s="237"/>
    </row>
    <row r="76" spans="1:12">
      <c r="F76" s="237"/>
      <c r="H76" s="237"/>
      <c r="J76" s="237"/>
    </row>
    <row r="77" spans="1:12">
      <c r="F77" s="237"/>
      <c r="H77" s="237"/>
      <c r="J77" s="237"/>
    </row>
    <row r="78" spans="1:12">
      <c r="F78" s="237"/>
      <c r="H78" s="237"/>
      <c r="J78" s="237"/>
    </row>
    <row r="79" spans="1:12">
      <c r="F79" s="237"/>
      <c r="H79" s="237"/>
      <c r="J79" s="237"/>
    </row>
    <row r="80" spans="1:12">
      <c r="F80" s="237"/>
      <c r="H80" s="237"/>
      <c r="J80" s="237"/>
    </row>
    <row r="81" spans="6:10">
      <c r="F81" s="237"/>
      <c r="H81" s="237"/>
      <c r="J81" s="237"/>
    </row>
    <row r="82" spans="6:10">
      <c r="F82" s="237"/>
      <c r="H82" s="237"/>
      <c r="J82" s="237"/>
    </row>
    <row r="83" spans="6:10">
      <c r="F83" s="237"/>
      <c r="H83" s="237"/>
      <c r="J83" s="237"/>
    </row>
    <row r="84" spans="6:10">
      <c r="F84" s="237"/>
      <c r="H84" s="237"/>
      <c r="J84" s="237"/>
    </row>
    <row r="85" spans="6:10">
      <c r="F85" s="237"/>
      <c r="H85" s="237"/>
      <c r="J85" s="237"/>
    </row>
    <row r="86" spans="6:10">
      <c r="F86" s="237"/>
      <c r="H86" s="237"/>
      <c r="J86" s="237"/>
    </row>
    <row r="87" spans="6:10">
      <c r="F87" s="237"/>
      <c r="H87" s="237"/>
      <c r="J87" s="237"/>
    </row>
    <row r="88" spans="6:10">
      <c r="F88" s="237"/>
      <c r="H88" s="237"/>
      <c r="J88" s="237"/>
    </row>
    <row r="89" spans="6:10">
      <c r="F89" s="237"/>
      <c r="H89" s="237"/>
      <c r="J89" s="237"/>
    </row>
    <row r="90" spans="6:10">
      <c r="F90" s="237"/>
      <c r="H90" s="237"/>
      <c r="J90" s="237"/>
    </row>
    <row r="91" spans="6:10">
      <c r="F91" s="237"/>
      <c r="H91" s="237"/>
      <c r="J91" s="237"/>
    </row>
    <row r="92" spans="6:10">
      <c r="F92" s="237"/>
      <c r="H92" s="237"/>
      <c r="J92" s="237"/>
    </row>
  </sheetData>
  <mergeCells count="15">
    <mergeCell ref="E22:L22"/>
    <mergeCell ref="A1:L1"/>
    <mergeCell ref="A2:L2"/>
    <mergeCell ref="A55:A57"/>
    <mergeCell ref="A58:A59"/>
    <mergeCell ref="E52:L52"/>
    <mergeCell ref="A67:A69"/>
    <mergeCell ref="A70:A71"/>
    <mergeCell ref="A74:B74"/>
    <mergeCell ref="A25:A33"/>
    <mergeCell ref="A34:A36"/>
    <mergeCell ref="A37:A39"/>
    <mergeCell ref="A42:A49"/>
    <mergeCell ref="A50:A51"/>
    <mergeCell ref="A61:A62"/>
  </mergeCells>
  <printOptions horizontalCentered="1" verticalCentered="1"/>
  <pageMargins left="0.2" right="0.2" top="0.25" bottom="0.25" header="0.3" footer="0.3"/>
  <pageSetup scale="62" orientation="portrait" horizontalDpi="4294967293" verticalDpi="0" r:id="rId1"/>
</worksheet>
</file>

<file path=xl/worksheets/sheet6.xml><?xml version="1.0" encoding="utf-8"?>
<worksheet xmlns="http://schemas.openxmlformats.org/spreadsheetml/2006/main" xmlns:r="http://schemas.openxmlformats.org/officeDocument/2006/relationships">
  <sheetPr>
    <pageSetUpPr fitToPage="1"/>
  </sheetPr>
  <dimension ref="A1:G50"/>
  <sheetViews>
    <sheetView showGridLines="0" tabSelected="1" workbookViewId="0">
      <selection activeCell="B35" sqref="B35"/>
    </sheetView>
  </sheetViews>
  <sheetFormatPr defaultRowHeight="15.5"/>
  <cols>
    <col min="1" max="1" width="1.7265625" style="469" customWidth="1"/>
    <col min="2" max="2" width="41" style="469" customWidth="1"/>
    <col min="3" max="3" width="10.26953125" style="504" customWidth="1"/>
    <col min="4" max="4" width="58.90625" style="469" customWidth="1"/>
    <col min="5" max="16384" width="8.7265625" style="469"/>
  </cols>
  <sheetData>
    <row r="1" spans="1:5" ht="20">
      <c r="A1" s="583" t="s">
        <v>402</v>
      </c>
      <c r="B1" s="583"/>
      <c r="C1" s="583"/>
      <c r="D1" s="583"/>
      <c r="E1" s="583"/>
    </row>
    <row r="2" spans="1:5" ht="18.5" customHeight="1">
      <c r="A2" s="584" t="s">
        <v>401</v>
      </c>
      <c r="B2" s="584"/>
      <c r="C2" s="584"/>
      <c r="D2" s="584"/>
      <c r="E2" s="584"/>
    </row>
    <row r="3" spans="1:5" ht="18.5" customHeight="1" thickBot="1">
      <c r="A3" s="477"/>
      <c r="B3" s="477"/>
      <c r="C3" s="477"/>
      <c r="D3" s="477"/>
      <c r="E3" s="477"/>
    </row>
    <row r="4" spans="1:5" ht="30" customHeight="1" thickBot="1">
      <c r="A4" s="477"/>
      <c r="B4" s="495" t="s">
        <v>407</v>
      </c>
      <c r="C4" s="496" t="s">
        <v>409</v>
      </c>
      <c r="D4" s="477"/>
      <c r="E4" s="477"/>
    </row>
    <row r="5" spans="1:5" ht="18.5" customHeight="1">
      <c r="A5" s="477"/>
      <c r="B5" s="491" t="s">
        <v>47</v>
      </c>
      <c r="C5" s="492">
        <f>+'New Year-Full Year'!F105</f>
        <v>10</v>
      </c>
      <c r="D5" s="477"/>
      <c r="E5" s="477"/>
    </row>
    <row r="6" spans="1:5" ht="18.5" customHeight="1">
      <c r="A6" s="477"/>
      <c r="B6" s="491" t="s">
        <v>410</v>
      </c>
      <c r="C6" s="492">
        <f>+'New Year-Full Year'!F133</f>
        <v>17</v>
      </c>
      <c r="D6" s="477"/>
      <c r="E6" s="477"/>
    </row>
    <row r="7" spans="1:5" ht="18.5" customHeight="1">
      <c r="A7" s="477"/>
      <c r="B7" s="491" t="s">
        <v>411</v>
      </c>
      <c r="C7" s="492">
        <f>+'New Year-Full Year'!F135</f>
        <v>13.37</v>
      </c>
      <c r="D7" s="477"/>
      <c r="E7" s="477"/>
    </row>
    <row r="8" spans="1:5" ht="18.5" customHeight="1">
      <c r="A8" s="477"/>
      <c r="B8" s="491" t="s">
        <v>412</v>
      </c>
      <c r="C8" s="492">
        <f>+'New Year-Full Year'!F136</f>
        <v>11.34</v>
      </c>
      <c r="D8" s="477"/>
      <c r="E8" s="477"/>
    </row>
    <row r="9" spans="1:5" ht="18.5" customHeight="1">
      <c r="A9" s="477"/>
      <c r="B9" s="491" t="s">
        <v>413</v>
      </c>
      <c r="C9" s="492">
        <f>+'New Year-Full Year'!F137</f>
        <v>11</v>
      </c>
      <c r="D9" s="477"/>
      <c r="E9" s="477"/>
    </row>
    <row r="10" spans="1:5" ht="18.5" customHeight="1" thickBot="1">
      <c r="A10" s="477"/>
      <c r="B10" s="493" t="s">
        <v>224</v>
      </c>
      <c r="C10" s="494">
        <f>+'New Year-Full Year'!F142</f>
        <v>14.28</v>
      </c>
      <c r="D10" s="477"/>
      <c r="E10" s="477"/>
    </row>
    <row r="11" spans="1:5" ht="8" customHeight="1">
      <c r="A11" s="477"/>
      <c r="B11" s="477"/>
      <c r="C11" s="477"/>
      <c r="D11" s="477"/>
      <c r="E11" s="477"/>
    </row>
    <row r="12" spans="1:5" ht="18.5" customHeight="1" thickBot="1">
      <c r="A12" s="477"/>
      <c r="B12" s="468" t="s">
        <v>406</v>
      </c>
      <c r="C12" s="477"/>
      <c r="D12" s="477"/>
      <c r="E12" s="477"/>
    </row>
    <row r="13" spans="1:5" ht="16" thickBot="1">
      <c r="A13" s="470"/>
      <c r="B13" s="482" t="s">
        <v>415</v>
      </c>
      <c r="C13" s="500"/>
      <c r="D13" s="592" t="s">
        <v>414</v>
      </c>
      <c r="E13" s="593"/>
    </row>
    <row r="14" spans="1:5" ht="67" customHeight="1" thickBot="1">
      <c r="B14" s="497" t="s">
        <v>315</v>
      </c>
      <c r="C14" s="498">
        <v>3000</v>
      </c>
      <c r="D14" s="585" t="s">
        <v>408</v>
      </c>
      <c r="E14" s="586"/>
    </row>
    <row r="15" spans="1:5" ht="16" thickBot="1">
      <c r="A15" s="478"/>
      <c r="B15" s="471"/>
      <c r="C15" s="501"/>
      <c r="D15" s="471"/>
    </row>
    <row r="16" spans="1:5" ht="16" thickBot="1">
      <c r="A16" s="472"/>
      <c r="B16" s="482" t="s">
        <v>353</v>
      </c>
      <c r="C16" s="500"/>
      <c r="D16" s="483"/>
      <c r="E16" s="484"/>
    </row>
    <row r="17" spans="1:7">
      <c r="A17" s="587"/>
      <c r="B17" s="479" t="s">
        <v>416</v>
      </c>
      <c r="C17" s="499">
        <v>6</v>
      </c>
      <c r="D17" s="588" t="s">
        <v>404</v>
      </c>
      <c r="E17" s="589"/>
    </row>
    <row r="18" spans="1:7">
      <c r="A18" s="587"/>
      <c r="B18" s="479" t="s">
        <v>348</v>
      </c>
      <c r="C18" s="502">
        <v>25</v>
      </c>
      <c r="D18" s="588"/>
      <c r="E18" s="589"/>
      <c r="G18" s="473"/>
    </row>
    <row r="19" spans="1:7" ht="16" thickBot="1">
      <c r="A19" s="587"/>
      <c r="B19" s="480" t="s">
        <v>349</v>
      </c>
      <c r="C19" s="503">
        <v>30</v>
      </c>
      <c r="D19" s="590"/>
      <c r="E19" s="591"/>
    </row>
    <row r="20" spans="1:7" ht="16" thickBot="1">
      <c r="A20" s="472"/>
    </row>
    <row r="21" spans="1:7" ht="16" thickBot="1">
      <c r="A21" s="472"/>
      <c r="B21" s="482" t="s">
        <v>354</v>
      </c>
      <c r="C21" s="500"/>
      <c r="D21" s="483"/>
      <c r="E21" s="484"/>
    </row>
    <row r="22" spans="1:7">
      <c r="A22" s="587"/>
      <c r="B22" s="479" t="s">
        <v>417</v>
      </c>
      <c r="C22" s="499">
        <v>1</v>
      </c>
      <c r="D22" s="588" t="s">
        <v>405</v>
      </c>
      <c r="E22" s="589"/>
    </row>
    <row r="23" spans="1:7" ht="16" thickBot="1">
      <c r="A23" s="587"/>
      <c r="B23" s="480" t="s">
        <v>368</v>
      </c>
      <c r="C23" s="503">
        <v>25</v>
      </c>
      <c r="D23" s="590"/>
      <c r="E23" s="591"/>
    </row>
    <row r="24" spans="1:7" ht="16" thickBot="1">
      <c r="A24" s="472"/>
    </row>
    <row r="25" spans="1:7" ht="16" thickBot="1">
      <c r="A25" s="472"/>
      <c r="B25" s="482" t="s">
        <v>396</v>
      </c>
      <c r="C25" s="500"/>
      <c r="D25" s="483"/>
      <c r="E25" s="484"/>
    </row>
    <row r="26" spans="1:7">
      <c r="A26" s="587"/>
      <c r="B26" s="479" t="s">
        <v>418</v>
      </c>
      <c r="C26" s="499">
        <v>3</v>
      </c>
      <c r="D26" s="472" t="s">
        <v>372</v>
      </c>
      <c r="E26" s="485"/>
    </row>
    <row r="27" spans="1:7" ht="16" thickBot="1">
      <c r="A27" s="587"/>
      <c r="B27" s="487" t="s">
        <v>373</v>
      </c>
      <c r="C27" s="505">
        <v>50</v>
      </c>
      <c r="D27" s="474"/>
      <c r="E27" s="488"/>
    </row>
    <row r="28" spans="1:7" ht="15" customHeight="1">
      <c r="A28" s="587"/>
      <c r="B28" s="489" t="s">
        <v>419</v>
      </c>
      <c r="C28" s="506">
        <v>2</v>
      </c>
      <c r="D28" s="475" t="s">
        <v>372</v>
      </c>
      <c r="E28" s="490"/>
    </row>
    <row r="29" spans="1:7" ht="15" customHeight="1" thickBot="1">
      <c r="A29" s="587"/>
      <c r="B29" s="480" t="s">
        <v>382</v>
      </c>
      <c r="C29" s="503">
        <v>25</v>
      </c>
      <c r="D29" s="481"/>
      <c r="E29" s="486"/>
    </row>
    <row r="30" spans="1:7" ht="16" thickBot="1">
      <c r="A30" s="476"/>
      <c r="B30" s="472"/>
      <c r="C30" s="502"/>
      <c r="D30" s="472"/>
      <c r="E30" s="472"/>
    </row>
    <row r="31" spans="1:7" ht="16" thickBot="1">
      <c r="A31" s="472"/>
      <c r="B31" s="482" t="s">
        <v>320</v>
      </c>
      <c r="C31" s="500"/>
      <c r="D31" s="483"/>
      <c r="E31" s="484"/>
    </row>
    <row r="32" spans="1:7">
      <c r="A32" s="587"/>
      <c r="B32" s="479" t="s">
        <v>420</v>
      </c>
      <c r="C32" s="499">
        <v>1</v>
      </c>
      <c r="D32" s="472"/>
      <c r="E32" s="485"/>
    </row>
    <row r="33" spans="1:5" ht="16" thickBot="1">
      <c r="A33" s="587"/>
      <c r="B33" s="480" t="s">
        <v>373</v>
      </c>
      <c r="C33" s="503">
        <v>25</v>
      </c>
      <c r="D33" s="481"/>
      <c r="E33" s="486"/>
    </row>
    <row r="34" spans="1:5">
      <c r="A34" s="472"/>
      <c r="C34" s="507"/>
    </row>
    <row r="35" spans="1:5">
      <c r="A35" s="472"/>
    </row>
    <row r="36" spans="1:5">
      <c r="A36" s="472"/>
    </row>
    <row r="37" spans="1:5">
      <c r="A37" s="472"/>
    </row>
    <row r="38" spans="1:5">
      <c r="A38" s="472"/>
    </row>
    <row r="39" spans="1:5">
      <c r="A39" s="472"/>
    </row>
    <row r="40" spans="1:5">
      <c r="A40" s="472"/>
    </row>
    <row r="41" spans="1:5">
      <c r="A41" s="472"/>
    </row>
    <row r="42" spans="1:5">
      <c r="A42" s="472"/>
    </row>
    <row r="43" spans="1:5">
      <c r="A43" s="472"/>
    </row>
    <row r="44" spans="1:5">
      <c r="A44" s="472"/>
    </row>
    <row r="45" spans="1:5">
      <c r="A45" s="472"/>
    </row>
    <row r="46" spans="1:5">
      <c r="A46" s="472"/>
    </row>
    <row r="47" spans="1:5">
      <c r="A47" s="472"/>
    </row>
    <row r="48" spans="1:5">
      <c r="A48" s="472"/>
    </row>
    <row r="49" spans="1:1">
      <c r="A49" s="472"/>
    </row>
    <row r="50" spans="1:1">
      <c r="A50" s="472"/>
    </row>
  </sheetData>
  <mergeCells count="11">
    <mergeCell ref="A1:E1"/>
    <mergeCell ref="A2:E2"/>
    <mergeCell ref="D14:E14"/>
    <mergeCell ref="A17:A19"/>
    <mergeCell ref="A32:A33"/>
    <mergeCell ref="D17:E19"/>
    <mergeCell ref="D22:E23"/>
    <mergeCell ref="D13:E13"/>
    <mergeCell ref="A22:A23"/>
    <mergeCell ref="A26:A27"/>
    <mergeCell ref="A28:A29"/>
  </mergeCells>
  <printOptions horizontalCentered="1"/>
  <pageMargins left="0.2" right="0.2" top="0.25" bottom="0.25" header="0.3" footer="0.3"/>
  <pageSetup scale="8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6</vt:i4>
      </vt:variant>
      <vt:variant>
        <vt:lpstr>Charts</vt:lpstr>
      </vt:variant>
      <vt:variant>
        <vt:i4>1</vt:i4>
      </vt:variant>
      <vt:variant>
        <vt:lpstr>Named Ranges</vt:lpstr>
      </vt:variant>
      <vt:variant>
        <vt:i4>3</vt:i4>
      </vt:variant>
    </vt:vector>
  </HeadingPairs>
  <TitlesOfParts>
    <vt:vector size="10" baseType="lpstr">
      <vt:lpstr>Top Sheet</vt:lpstr>
      <vt:lpstr>Summary New Year</vt:lpstr>
      <vt:lpstr>New Year-Full Year</vt:lpstr>
      <vt:lpstr>Pastor Detail</vt:lpstr>
      <vt:lpstr>Band Estimate</vt:lpstr>
      <vt:lpstr>Rates</vt:lpstr>
      <vt:lpstr>Chart1</vt:lpstr>
      <vt:lpstr>Bud_Yr</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2019-10-17T22:03:38Z</cp:lastPrinted>
  <dcterms:created xsi:type="dcterms:W3CDTF">2011-12-01T18:07:46Z</dcterms:created>
  <dcterms:modified xsi:type="dcterms:W3CDTF">2019-10-17T22:03:39Z</dcterms:modified>
</cp:coreProperties>
</file>